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ADC-Brochure 2026\"/>
    </mc:Choice>
  </mc:AlternateContent>
  <xr:revisionPtr revIDLastSave="0" documentId="13_ncr:1_{9B64C426-4879-4248-99A2-9C0977D86CA1}" xr6:coauthVersionLast="47" xr6:coauthVersionMax="47" xr10:uidLastSave="{00000000-0000-0000-0000-000000000000}"/>
  <bookViews>
    <workbookView xWindow="28680" yWindow="-120" windowWidth="29040" windowHeight="15720" tabRatio="568" activeTab="3" xr2:uid="{00000000-000D-0000-FFFF-FFFF00000000}"/>
  </bookViews>
  <sheets>
    <sheet name="Tablero" sheetId="1" r:id="rId1"/>
    <sheet name="Instrucciones" sheetId="2" r:id="rId2"/>
    <sheet name="Productos" sheetId="3" r:id="rId3"/>
    <sheet name="Compras" sheetId="4" r:id="rId4"/>
    <sheet name="Ventas" sheetId="5" r:id="rId5"/>
    <sheet name="Mermas" sheetId="6" r:id="rId6"/>
    <sheet name="Servicios ADIMCLO" sheetId="7" r:id="rId7"/>
  </sheets>
  <definedNames>
    <definedName name="_xlnm._FilterDatabase" localSheetId="3" hidden="1">Compras!$A$4:$G$68</definedName>
    <definedName name="_xlnm._FilterDatabase" localSheetId="5" hidden="1">Mermas!$A$4:$G$16</definedName>
    <definedName name="_xlnm._FilterDatabase" localSheetId="2" hidden="1">Productos!$A$4:$O$124</definedName>
    <definedName name="_xlnm._FilterDatabase" localSheetId="4" hidden="1">Ventas!$A$4:$L$383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6" l="1"/>
  <c r="F16" i="6"/>
  <c r="E16" i="6"/>
  <c r="C16" i="6"/>
  <c r="E15" i="6"/>
  <c r="F15" i="6" s="1"/>
  <c r="C15" i="6"/>
  <c r="E14" i="6"/>
  <c r="F14" i="6" s="1"/>
  <c r="C14" i="6"/>
  <c r="E13" i="6"/>
  <c r="F13" i="6" s="1"/>
  <c r="C13" i="6"/>
  <c r="E12" i="6"/>
  <c r="F12" i="6" s="1"/>
  <c r="I85" i="1" s="1"/>
  <c r="C12" i="6"/>
  <c r="E11" i="6"/>
  <c r="F11" i="6" s="1"/>
  <c r="C11" i="6"/>
  <c r="E10" i="6"/>
  <c r="F10" i="6" s="1"/>
  <c r="C10" i="6"/>
  <c r="E9" i="6"/>
  <c r="F9" i="6" s="1"/>
  <c r="I84" i="1" s="1"/>
  <c r="C9" i="6"/>
  <c r="E8" i="6"/>
  <c r="F8" i="6" s="1"/>
  <c r="C8" i="6"/>
  <c r="E7" i="6"/>
  <c r="F7" i="6" s="1"/>
  <c r="C7" i="6"/>
  <c r="E6" i="6"/>
  <c r="F6" i="6" s="1"/>
  <c r="C6" i="6"/>
  <c r="E5" i="6"/>
  <c r="F5" i="6" s="1"/>
  <c r="C5" i="6"/>
  <c r="D384" i="5"/>
  <c r="L383" i="5"/>
  <c r="I383" i="5"/>
  <c r="H383" i="5"/>
  <c r="G383" i="5"/>
  <c r="F383" i="5"/>
  <c r="E383" i="5"/>
  <c r="C383" i="5"/>
  <c r="L382" i="5"/>
  <c r="I382" i="5"/>
  <c r="H382" i="5"/>
  <c r="G382" i="5"/>
  <c r="F382" i="5"/>
  <c r="E382" i="5"/>
  <c r="C382" i="5"/>
  <c r="L381" i="5"/>
  <c r="I381" i="5"/>
  <c r="H381" i="5"/>
  <c r="G381" i="5"/>
  <c r="F381" i="5"/>
  <c r="E381" i="5"/>
  <c r="C381" i="5"/>
  <c r="L380" i="5"/>
  <c r="I380" i="5"/>
  <c r="H380" i="5"/>
  <c r="G380" i="5"/>
  <c r="F380" i="5"/>
  <c r="E380" i="5"/>
  <c r="C380" i="5"/>
  <c r="L379" i="5"/>
  <c r="I379" i="5"/>
  <c r="H379" i="5"/>
  <c r="G379" i="5"/>
  <c r="F379" i="5"/>
  <c r="E379" i="5"/>
  <c r="C379" i="5"/>
  <c r="L378" i="5"/>
  <c r="G378" i="5"/>
  <c r="H378" i="5" s="1"/>
  <c r="E378" i="5"/>
  <c r="F378" i="5" s="1"/>
  <c r="C378" i="5"/>
  <c r="L377" i="5"/>
  <c r="G377" i="5"/>
  <c r="H377" i="5" s="1"/>
  <c r="E377" i="5"/>
  <c r="F377" i="5" s="1"/>
  <c r="C377" i="5"/>
  <c r="L376" i="5"/>
  <c r="G376" i="5"/>
  <c r="H376" i="5" s="1"/>
  <c r="E376" i="5"/>
  <c r="F376" i="5" s="1"/>
  <c r="C376" i="5"/>
  <c r="L375" i="5"/>
  <c r="G375" i="5"/>
  <c r="H375" i="5" s="1"/>
  <c r="E375" i="5"/>
  <c r="F375" i="5" s="1"/>
  <c r="I375" i="5" s="1"/>
  <c r="C375" i="5"/>
  <c r="L374" i="5"/>
  <c r="G374" i="5"/>
  <c r="H374" i="5" s="1"/>
  <c r="E374" i="5"/>
  <c r="F374" i="5" s="1"/>
  <c r="C374" i="5"/>
  <c r="L373" i="5"/>
  <c r="G373" i="5"/>
  <c r="H373" i="5" s="1"/>
  <c r="E373" i="5"/>
  <c r="F373" i="5" s="1"/>
  <c r="C373" i="5"/>
  <c r="L372" i="5"/>
  <c r="G372" i="5"/>
  <c r="H372" i="5" s="1"/>
  <c r="E372" i="5"/>
  <c r="F372" i="5" s="1"/>
  <c r="I372" i="5" s="1"/>
  <c r="C372" i="5"/>
  <c r="L371" i="5"/>
  <c r="G371" i="5"/>
  <c r="H371" i="5" s="1"/>
  <c r="E371" i="5"/>
  <c r="F371" i="5" s="1"/>
  <c r="C371" i="5"/>
  <c r="L370" i="5"/>
  <c r="G370" i="5"/>
  <c r="H370" i="5" s="1"/>
  <c r="E370" i="5"/>
  <c r="F370" i="5" s="1"/>
  <c r="C370" i="5"/>
  <c r="L369" i="5"/>
  <c r="G369" i="5"/>
  <c r="H369" i="5" s="1"/>
  <c r="E369" i="5"/>
  <c r="F369" i="5" s="1"/>
  <c r="I369" i="5" s="1"/>
  <c r="C369" i="5"/>
  <c r="L368" i="5"/>
  <c r="G368" i="5"/>
  <c r="H368" i="5" s="1"/>
  <c r="E368" i="5"/>
  <c r="F368" i="5" s="1"/>
  <c r="I368" i="5" s="1"/>
  <c r="C368" i="5"/>
  <c r="L367" i="5"/>
  <c r="G367" i="5"/>
  <c r="H367" i="5" s="1"/>
  <c r="E367" i="5"/>
  <c r="F367" i="5" s="1"/>
  <c r="C367" i="5"/>
  <c r="L366" i="5"/>
  <c r="G366" i="5"/>
  <c r="H366" i="5" s="1"/>
  <c r="E366" i="5"/>
  <c r="F366" i="5" s="1"/>
  <c r="C366" i="5"/>
  <c r="L365" i="5"/>
  <c r="G365" i="5"/>
  <c r="H365" i="5" s="1"/>
  <c r="E365" i="5"/>
  <c r="F365" i="5" s="1"/>
  <c r="C365" i="5"/>
  <c r="L364" i="5"/>
  <c r="G364" i="5"/>
  <c r="H364" i="5" s="1"/>
  <c r="E364" i="5"/>
  <c r="F364" i="5" s="1"/>
  <c r="C364" i="5"/>
  <c r="L363" i="5"/>
  <c r="G363" i="5"/>
  <c r="H363" i="5" s="1"/>
  <c r="E363" i="5"/>
  <c r="F363" i="5" s="1"/>
  <c r="I363" i="5" s="1"/>
  <c r="C363" i="5"/>
  <c r="L362" i="5"/>
  <c r="G362" i="5"/>
  <c r="H362" i="5" s="1"/>
  <c r="E362" i="5"/>
  <c r="F362" i="5" s="1"/>
  <c r="C362" i="5"/>
  <c r="L361" i="5"/>
  <c r="G361" i="5"/>
  <c r="H361" i="5" s="1"/>
  <c r="E361" i="5"/>
  <c r="F361" i="5" s="1"/>
  <c r="C361" i="5"/>
  <c r="L360" i="5"/>
  <c r="G360" i="5"/>
  <c r="H360" i="5" s="1"/>
  <c r="E360" i="5"/>
  <c r="F360" i="5" s="1"/>
  <c r="C360" i="5"/>
  <c r="L359" i="5"/>
  <c r="G359" i="5"/>
  <c r="H359" i="5" s="1"/>
  <c r="E359" i="5"/>
  <c r="F359" i="5" s="1"/>
  <c r="C359" i="5"/>
  <c r="L358" i="5"/>
  <c r="G358" i="5"/>
  <c r="H358" i="5" s="1"/>
  <c r="E358" i="5"/>
  <c r="F358" i="5" s="1"/>
  <c r="I358" i="5" s="1"/>
  <c r="C358" i="5"/>
  <c r="L357" i="5"/>
  <c r="G357" i="5"/>
  <c r="H357" i="5" s="1"/>
  <c r="E357" i="5"/>
  <c r="F357" i="5" s="1"/>
  <c r="C357" i="5"/>
  <c r="L356" i="5"/>
  <c r="G356" i="5"/>
  <c r="H356" i="5" s="1"/>
  <c r="E356" i="5"/>
  <c r="F356" i="5" s="1"/>
  <c r="I356" i="5" s="1"/>
  <c r="C356" i="5"/>
  <c r="L355" i="5"/>
  <c r="G355" i="5"/>
  <c r="H355" i="5" s="1"/>
  <c r="E355" i="5"/>
  <c r="F355" i="5" s="1"/>
  <c r="C355" i="5"/>
  <c r="L354" i="5"/>
  <c r="G354" i="5"/>
  <c r="H354" i="5" s="1"/>
  <c r="E354" i="5"/>
  <c r="F354" i="5" s="1"/>
  <c r="C354" i="5"/>
  <c r="L353" i="5"/>
  <c r="G353" i="5"/>
  <c r="H353" i="5" s="1"/>
  <c r="E353" i="5"/>
  <c r="F353" i="5" s="1"/>
  <c r="C353" i="5"/>
  <c r="L352" i="5"/>
  <c r="G352" i="5"/>
  <c r="H352" i="5" s="1"/>
  <c r="E352" i="5"/>
  <c r="F352" i="5" s="1"/>
  <c r="C352" i="5"/>
  <c r="L351" i="5"/>
  <c r="G351" i="5"/>
  <c r="H351" i="5" s="1"/>
  <c r="E351" i="5"/>
  <c r="F351" i="5" s="1"/>
  <c r="C351" i="5"/>
  <c r="L350" i="5"/>
  <c r="G350" i="5"/>
  <c r="H350" i="5" s="1"/>
  <c r="E350" i="5"/>
  <c r="F350" i="5" s="1"/>
  <c r="C350" i="5"/>
  <c r="L349" i="5"/>
  <c r="G349" i="5"/>
  <c r="H349" i="5" s="1"/>
  <c r="E349" i="5"/>
  <c r="F349" i="5" s="1"/>
  <c r="I349" i="5" s="1"/>
  <c r="C349" i="5"/>
  <c r="L348" i="5"/>
  <c r="G348" i="5"/>
  <c r="H348" i="5" s="1"/>
  <c r="E348" i="5"/>
  <c r="F348" i="5" s="1"/>
  <c r="C348" i="5"/>
  <c r="L347" i="5"/>
  <c r="G347" i="5"/>
  <c r="H347" i="5" s="1"/>
  <c r="E347" i="5"/>
  <c r="F347" i="5" s="1"/>
  <c r="C347" i="5"/>
  <c r="L346" i="5"/>
  <c r="G346" i="5"/>
  <c r="H346" i="5" s="1"/>
  <c r="E346" i="5"/>
  <c r="F346" i="5" s="1"/>
  <c r="I346" i="5" s="1"/>
  <c r="C346" i="5"/>
  <c r="L345" i="5"/>
  <c r="G345" i="5"/>
  <c r="H345" i="5" s="1"/>
  <c r="E345" i="5"/>
  <c r="F345" i="5" s="1"/>
  <c r="C345" i="5"/>
  <c r="L344" i="5"/>
  <c r="G344" i="5"/>
  <c r="H344" i="5" s="1"/>
  <c r="E344" i="5"/>
  <c r="F344" i="5" s="1"/>
  <c r="I344" i="5" s="1"/>
  <c r="C344" i="5"/>
  <c r="L343" i="5"/>
  <c r="G343" i="5"/>
  <c r="H343" i="5" s="1"/>
  <c r="E343" i="5"/>
  <c r="F343" i="5" s="1"/>
  <c r="C343" i="5"/>
  <c r="L342" i="5"/>
  <c r="G342" i="5"/>
  <c r="H342" i="5" s="1"/>
  <c r="E342" i="5"/>
  <c r="F342" i="5" s="1"/>
  <c r="C342" i="5"/>
  <c r="L341" i="5"/>
  <c r="G341" i="5"/>
  <c r="H341" i="5" s="1"/>
  <c r="E341" i="5"/>
  <c r="F341" i="5" s="1"/>
  <c r="C341" i="5"/>
  <c r="L340" i="5"/>
  <c r="G340" i="5"/>
  <c r="H340" i="5" s="1"/>
  <c r="E340" i="5"/>
  <c r="F340" i="5" s="1"/>
  <c r="C340" i="5"/>
  <c r="L339" i="5"/>
  <c r="G339" i="5"/>
  <c r="H339" i="5" s="1"/>
  <c r="E339" i="5"/>
  <c r="F339" i="5" s="1"/>
  <c r="I339" i="5" s="1"/>
  <c r="C339" i="5"/>
  <c r="L338" i="5"/>
  <c r="G338" i="5"/>
  <c r="H338" i="5" s="1"/>
  <c r="E338" i="5"/>
  <c r="F338" i="5" s="1"/>
  <c r="C338" i="5"/>
  <c r="L337" i="5"/>
  <c r="G337" i="5"/>
  <c r="H337" i="5" s="1"/>
  <c r="E337" i="5"/>
  <c r="F337" i="5" s="1"/>
  <c r="I337" i="5" s="1"/>
  <c r="C337" i="5"/>
  <c r="L336" i="5"/>
  <c r="G336" i="5"/>
  <c r="H336" i="5" s="1"/>
  <c r="E336" i="5"/>
  <c r="F336" i="5" s="1"/>
  <c r="C336" i="5"/>
  <c r="L335" i="5"/>
  <c r="G335" i="5"/>
  <c r="H335" i="5" s="1"/>
  <c r="E335" i="5"/>
  <c r="F335" i="5" s="1"/>
  <c r="C335" i="5"/>
  <c r="L334" i="5"/>
  <c r="G334" i="5"/>
  <c r="H334" i="5" s="1"/>
  <c r="E334" i="5"/>
  <c r="F334" i="5" s="1"/>
  <c r="I334" i="5" s="1"/>
  <c r="C334" i="5"/>
  <c r="L333" i="5"/>
  <c r="G333" i="5"/>
  <c r="H333" i="5" s="1"/>
  <c r="E333" i="5"/>
  <c r="F333" i="5" s="1"/>
  <c r="I333" i="5" s="1"/>
  <c r="C333" i="5"/>
  <c r="L332" i="5"/>
  <c r="G332" i="5"/>
  <c r="H332" i="5" s="1"/>
  <c r="E332" i="5"/>
  <c r="F332" i="5" s="1"/>
  <c r="C332" i="5"/>
  <c r="L331" i="5"/>
  <c r="G331" i="5"/>
  <c r="H331" i="5" s="1"/>
  <c r="E331" i="5"/>
  <c r="F331" i="5" s="1"/>
  <c r="C331" i="5"/>
  <c r="L330" i="5"/>
  <c r="G330" i="5"/>
  <c r="H330" i="5" s="1"/>
  <c r="E330" i="5"/>
  <c r="F330" i="5" s="1"/>
  <c r="C330" i="5"/>
  <c r="L329" i="5"/>
  <c r="G329" i="5"/>
  <c r="H329" i="5" s="1"/>
  <c r="E329" i="5"/>
  <c r="F329" i="5" s="1"/>
  <c r="I329" i="5" s="1"/>
  <c r="C329" i="5"/>
  <c r="L328" i="5"/>
  <c r="G328" i="5"/>
  <c r="H328" i="5" s="1"/>
  <c r="E328" i="5"/>
  <c r="F328" i="5" s="1"/>
  <c r="I328" i="5" s="1"/>
  <c r="C328" i="5"/>
  <c r="L327" i="5"/>
  <c r="G327" i="5"/>
  <c r="H327" i="5" s="1"/>
  <c r="E327" i="5"/>
  <c r="F327" i="5" s="1"/>
  <c r="C327" i="5"/>
  <c r="L326" i="5"/>
  <c r="G326" i="5"/>
  <c r="H326" i="5" s="1"/>
  <c r="E326" i="5"/>
  <c r="F326" i="5" s="1"/>
  <c r="I326" i="5" s="1"/>
  <c r="C326" i="5"/>
  <c r="L325" i="5"/>
  <c r="G325" i="5"/>
  <c r="H325" i="5" s="1"/>
  <c r="E325" i="5"/>
  <c r="F325" i="5" s="1"/>
  <c r="C325" i="5"/>
  <c r="L324" i="5"/>
  <c r="G324" i="5"/>
  <c r="H324" i="5" s="1"/>
  <c r="E324" i="5"/>
  <c r="F324" i="5" s="1"/>
  <c r="I324" i="5" s="1"/>
  <c r="C324" i="5"/>
  <c r="L323" i="5"/>
  <c r="G323" i="5"/>
  <c r="H323" i="5" s="1"/>
  <c r="E323" i="5"/>
  <c r="F323" i="5" s="1"/>
  <c r="I323" i="5" s="1"/>
  <c r="C323" i="5"/>
  <c r="L322" i="5"/>
  <c r="G322" i="5"/>
  <c r="H322" i="5" s="1"/>
  <c r="E322" i="5"/>
  <c r="F322" i="5" s="1"/>
  <c r="C322" i="5"/>
  <c r="L321" i="5"/>
  <c r="G321" i="5"/>
  <c r="H321" i="5" s="1"/>
  <c r="E321" i="5"/>
  <c r="F321" i="5" s="1"/>
  <c r="C321" i="5"/>
  <c r="L320" i="5"/>
  <c r="G320" i="5"/>
  <c r="H320" i="5" s="1"/>
  <c r="E320" i="5"/>
  <c r="F320" i="5" s="1"/>
  <c r="I320" i="5" s="1"/>
  <c r="C320" i="5"/>
  <c r="L319" i="5"/>
  <c r="G319" i="5"/>
  <c r="H319" i="5" s="1"/>
  <c r="E319" i="5"/>
  <c r="F319" i="5" s="1"/>
  <c r="I319" i="5" s="1"/>
  <c r="C319" i="5"/>
  <c r="L318" i="5"/>
  <c r="G318" i="5"/>
  <c r="H318" i="5" s="1"/>
  <c r="E318" i="5"/>
  <c r="F318" i="5" s="1"/>
  <c r="C318" i="5"/>
  <c r="L317" i="5"/>
  <c r="G317" i="5"/>
  <c r="H317" i="5" s="1"/>
  <c r="E317" i="5"/>
  <c r="F317" i="5" s="1"/>
  <c r="I317" i="5" s="1"/>
  <c r="C317" i="5"/>
  <c r="L316" i="5"/>
  <c r="G316" i="5"/>
  <c r="H316" i="5" s="1"/>
  <c r="E316" i="5"/>
  <c r="F316" i="5" s="1"/>
  <c r="C316" i="5"/>
  <c r="L315" i="5"/>
  <c r="G315" i="5"/>
  <c r="H315" i="5" s="1"/>
  <c r="E315" i="5"/>
  <c r="F315" i="5" s="1"/>
  <c r="I315" i="5" s="1"/>
  <c r="C315" i="5"/>
  <c r="L314" i="5"/>
  <c r="G314" i="5"/>
  <c r="H314" i="5" s="1"/>
  <c r="E314" i="5"/>
  <c r="F314" i="5" s="1"/>
  <c r="C314" i="5"/>
  <c r="L313" i="5"/>
  <c r="G313" i="5"/>
  <c r="H313" i="5" s="1"/>
  <c r="E313" i="5"/>
  <c r="F313" i="5" s="1"/>
  <c r="C313" i="5"/>
  <c r="L312" i="5"/>
  <c r="G312" i="5"/>
  <c r="H312" i="5" s="1"/>
  <c r="E312" i="5"/>
  <c r="F312" i="5" s="1"/>
  <c r="I312" i="5" s="1"/>
  <c r="C312" i="5"/>
  <c r="L311" i="5"/>
  <c r="G311" i="5"/>
  <c r="H311" i="5" s="1"/>
  <c r="E311" i="5"/>
  <c r="F311" i="5" s="1"/>
  <c r="I311" i="5" s="1"/>
  <c r="C311" i="5"/>
  <c r="L310" i="5"/>
  <c r="G310" i="5"/>
  <c r="H310" i="5" s="1"/>
  <c r="E310" i="5"/>
  <c r="F310" i="5" s="1"/>
  <c r="C310" i="5"/>
  <c r="L309" i="5"/>
  <c r="G309" i="5"/>
  <c r="H309" i="5" s="1"/>
  <c r="E309" i="5"/>
  <c r="F309" i="5" s="1"/>
  <c r="I309" i="5" s="1"/>
  <c r="C309" i="5"/>
  <c r="L308" i="5"/>
  <c r="G308" i="5"/>
  <c r="H308" i="5" s="1"/>
  <c r="E308" i="5"/>
  <c r="F308" i="5" s="1"/>
  <c r="I308" i="5" s="1"/>
  <c r="C308" i="5"/>
  <c r="L307" i="5"/>
  <c r="G307" i="5"/>
  <c r="H307" i="5" s="1"/>
  <c r="E307" i="5"/>
  <c r="F307" i="5" s="1"/>
  <c r="C307" i="5"/>
  <c r="L306" i="5"/>
  <c r="G306" i="5"/>
  <c r="H306" i="5" s="1"/>
  <c r="E306" i="5"/>
  <c r="F306" i="5" s="1"/>
  <c r="C306" i="5"/>
  <c r="L305" i="5"/>
  <c r="G305" i="5"/>
  <c r="H305" i="5" s="1"/>
  <c r="E305" i="5"/>
  <c r="F305" i="5" s="1"/>
  <c r="C305" i="5"/>
  <c r="L304" i="5"/>
  <c r="G304" i="5"/>
  <c r="H304" i="5" s="1"/>
  <c r="E304" i="5"/>
  <c r="F304" i="5" s="1"/>
  <c r="C304" i="5"/>
  <c r="L303" i="5"/>
  <c r="G303" i="5"/>
  <c r="H303" i="5" s="1"/>
  <c r="E303" i="5"/>
  <c r="F303" i="5" s="1"/>
  <c r="C303" i="5"/>
  <c r="L302" i="5"/>
  <c r="G302" i="5"/>
  <c r="H302" i="5" s="1"/>
  <c r="E302" i="5"/>
  <c r="F302" i="5" s="1"/>
  <c r="C302" i="5"/>
  <c r="L301" i="5"/>
  <c r="G301" i="5"/>
  <c r="H301" i="5" s="1"/>
  <c r="E301" i="5"/>
  <c r="F301" i="5" s="1"/>
  <c r="I301" i="5" s="1"/>
  <c r="C301" i="5"/>
  <c r="L300" i="5"/>
  <c r="G300" i="5"/>
  <c r="H300" i="5" s="1"/>
  <c r="E300" i="5"/>
  <c r="F300" i="5" s="1"/>
  <c r="C300" i="5"/>
  <c r="L299" i="5"/>
  <c r="G299" i="5"/>
  <c r="H299" i="5" s="1"/>
  <c r="E299" i="5"/>
  <c r="F299" i="5" s="1"/>
  <c r="C299" i="5"/>
  <c r="L298" i="5"/>
  <c r="G298" i="5"/>
  <c r="H298" i="5" s="1"/>
  <c r="E298" i="5"/>
  <c r="F298" i="5" s="1"/>
  <c r="C298" i="5"/>
  <c r="L297" i="5"/>
  <c r="G297" i="5"/>
  <c r="H297" i="5" s="1"/>
  <c r="E297" i="5"/>
  <c r="F297" i="5" s="1"/>
  <c r="C297" i="5"/>
  <c r="L296" i="5"/>
  <c r="G296" i="5"/>
  <c r="H296" i="5" s="1"/>
  <c r="E296" i="5"/>
  <c r="F296" i="5" s="1"/>
  <c r="I296" i="5" s="1"/>
  <c r="C296" i="5"/>
  <c r="L295" i="5"/>
  <c r="G295" i="5"/>
  <c r="H295" i="5" s="1"/>
  <c r="E295" i="5"/>
  <c r="F295" i="5" s="1"/>
  <c r="I295" i="5" s="1"/>
  <c r="C295" i="5"/>
  <c r="L294" i="5"/>
  <c r="G294" i="5"/>
  <c r="H294" i="5" s="1"/>
  <c r="E294" i="5"/>
  <c r="F294" i="5" s="1"/>
  <c r="C294" i="5"/>
  <c r="L293" i="5"/>
  <c r="G293" i="5"/>
  <c r="H293" i="5" s="1"/>
  <c r="E293" i="5"/>
  <c r="F293" i="5" s="1"/>
  <c r="I293" i="5" s="1"/>
  <c r="C293" i="5"/>
  <c r="L292" i="5"/>
  <c r="G292" i="5"/>
  <c r="H292" i="5" s="1"/>
  <c r="E292" i="5"/>
  <c r="F292" i="5" s="1"/>
  <c r="I292" i="5" s="1"/>
  <c r="C292" i="5"/>
  <c r="L291" i="5"/>
  <c r="G291" i="5"/>
  <c r="H291" i="5" s="1"/>
  <c r="E291" i="5"/>
  <c r="F291" i="5" s="1"/>
  <c r="I291" i="5" s="1"/>
  <c r="C291" i="5"/>
  <c r="L290" i="5"/>
  <c r="G290" i="5"/>
  <c r="H290" i="5" s="1"/>
  <c r="E290" i="5"/>
  <c r="F290" i="5" s="1"/>
  <c r="C290" i="5"/>
  <c r="L289" i="5"/>
  <c r="G289" i="5"/>
  <c r="H289" i="5" s="1"/>
  <c r="E289" i="5"/>
  <c r="F289" i="5" s="1"/>
  <c r="C289" i="5"/>
  <c r="L288" i="5"/>
  <c r="G288" i="5"/>
  <c r="H288" i="5" s="1"/>
  <c r="E288" i="5"/>
  <c r="F288" i="5" s="1"/>
  <c r="I288" i="5" s="1"/>
  <c r="C288" i="5"/>
  <c r="L287" i="5"/>
  <c r="G287" i="5"/>
  <c r="H287" i="5" s="1"/>
  <c r="E287" i="5"/>
  <c r="F287" i="5" s="1"/>
  <c r="I287" i="5" s="1"/>
  <c r="C287" i="5"/>
  <c r="L286" i="5"/>
  <c r="G286" i="5"/>
  <c r="H286" i="5" s="1"/>
  <c r="E286" i="5"/>
  <c r="F286" i="5" s="1"/>
  <c r="I286" i="5" s="1"/>
  <c r="C286" i="5"/>
  <c r="L285" i="5"/>
  <c r="G285" i="5"/>
  <c r="H285" i="5" s="1"/>
  <c r="E285" i="5"/>
  <c r="F285" i="5" s="1"/>
  <c r="C285" i="5"/>
  <c r="L284" i="5"/>
  <c r="G284" i="5"/>
  <c r="H284" i="5" s="1"/>
  <c r="E284" i="5"/>
  <c r="F284" i="5" s="1"/>
  <c r="C284" i="5"/>
  <c r="L283" i="5"/>
  <c r="G283" i="5"/>
  <c r="H283" i="5" s="1"/>
  <c r="E283" i="5"/>
  <c r="F283" i="5" s="1"/>
  <c r="I283" i="5" s="1"/>
  <c r="C283" i="5"/>
  <c r="L282" i="5"/>
  <c r="G282" i="5"/>
  <c r="H282" i="5" s="1"/>
  <c r="E282" i="5"/>
  <c r="F282" i="5" s="1"/>
  <c r="C282" i="5"/>
  <c r="L281" i="5"/>
  <c r="G281" i="5"/>
  <c r="H281" i="5" s="1"/>
  <c r="E281" i="5"/>
  <c r="F281" i="5" s="1"/>
  <c r="I281" i="5" s="1"/>
  <c r="C281" i="5"/>
  <c r="L280" i="5"/>
  <c r="G280" i="5"/>
  <c r="H280" i="5" s="1"/>
  <c r="E280" i="5"/>
  <c r="F280" i="5" s="1"/>
  <c r="C280" i="5"/>
  <c r="L279" i="5"/>
  <c r="G279" i="5"/>
  <c r="H279" i="5" s="1"/>
  <c r="E279" i="5"/>
  <c r="F279" i="5" s="1"/>
  <c r="I279" i="5" s="1"/>
  <c r="C279" i="5"/>
  <c r="L278" i="5"/>
  <c r="G278" i="5"/>
  <c r="H278" i="5" s="1"/>
  <c r="E278" i="5"/>
  <c r="F278" i="5" s="1"/>
  <c r="C278" i="5"/>
  <c r="L277" i="5"/>
  <c r="G277" i="5"/>
  <c r="H277" i="5" s="1"/>
  <c r="E277" i="5"/>
  <c r="F277" i="5" s="1"/>
  <c r="C277" i="5"/>
  <c r="L276" i="5"/>
  <c r="G276" i="5"/>
  <c r="H276" i="5" s="1"/>
  <c r="E276" i="5"/>
  <c r="F276" i="5" s="1"/>
  <c r="I276" i="5" s="1"/>
  <c r="C276" i="5"/>
  <c r="L275" i="5"/>
  <c r="G275" i="5"/>
  <c r="H275" i="5" s="1"/>
  <c r="E275" i="5"/>
  <c r="F275" i="5" s="1"/>
  <c r="C275" i="5"/>
  <c r="L274" i="5"/>
  <c r="G274" i="5"/>
  <c r="H274" i="5" s="1"/>
  <c r="E274" i="5"/>
  <c r="F274" i="5" s="1"/>
  <c r="C274" i="5"/>
  <c r="L273" i="5"/>
  <c r="G273" i="5"/>
  <c r="H273" i="5" s="1"/>
  <c r="E273" i="5"/>
  <c r="F273" i="5" s="1"/>
  <c r="I273" i="5" s="1"/>
  <c r="C273" i="5"/>
  <c r="L272" i="5"/>
  <c r="G272" i="5"/>
  <c r="H272" i="5" s="1"/>
  <c r="E272" i="5"/>
  <c r="F272" i="5" s="1"/>
  <c r="I272" i="5" s="1"/>
  <c r="C272" i="5"/>
  <c r="L271" i="5"/>
  <c r="G271" i="5"/>
  <c r="H271" i="5" s="1"/>
  <c r="E271" i="5"/>
  <c r="F271" i="5" s="1"/>
  <c r="I271" i="5" s="1"/>
  <c r="C271" i="5"/>
  <c r="L270" i="5"/>
  <c r="G270" i="5"/>
  <c r="H270" i="5" s="1"/>
  <c r="E270" i="5"/>
  <c r="F270" i="5" s="1"/>
  <c r="I270" i="5" s="1"/>
  <c r="C270" i="5"/>
  <c r="L269" i="5"/>
  <c r="G269" i="5"/>
  <c r="H269" i="5" s="1"/>
  <c r="E269" i="5"/>
  <c r="F269" i="5" s="1"/>
  <c r="C269" i="5"/>
  <c r="L268" i="5"/>
  <c r="G268" i="5"/>
  <c r="H268" i="5" s="1"/>
  <c r="E268" i="5"/>
  <c r="F268" i="5" s="1"/>
  <c r="I268" i="5" s="1"/>
  <c r="C268" i="5"/>
  <c r="L267" i="5"/>
  <c r="G267" i="5"/>
  <c r="H267" i="5" s="1"/>
  <c r="E267" i="5"/>
  <c r="F267" i="5" s="1"/>
  <c r="I267" i="5" s="1"/>
  <c r="C267" i="5"/>
  <c r="L266" i="5"/>
  <c r="G266" i="5"/>
  <c r="H266" i="5" s="1"/>
  <c r="E266" i="5"/>
  <c r="F266" i="5" s="1"/>
  <c r="C266" i="5"/>
  <c r="L265" i="5"/>
  <c r="G265" i="5"/>
  <c r="H265" i="5" s="1"/>
  <c r="E265" i="5"/>
  <c r="F265" i="5" s="1"/>
  <c r="I265" i="5" s="1"/>
  <c r="C265" i="5"/>
  <c r="L264" i="5"/>
  <c r="G264" i="5"/>
  <c r="H264" i="5" s="1"/>
  <c r="E264" i="5"/>
  <c r="F264" i="5" s="1"/>
  <c r="C264" i="5"/>
  <c r="L263" i="5"/>
  <c r="G263" i="5"/>
  <c r="H263" i="5" s="1"/>
  <c r="E263" i="5"/>
  <c r="F263" i="5" s="1"/>
  <c r="I263" i="5" s="1"/>
  <c r="C263" i="5"/>
  <c r="L262" i="5"/>
  <c r="G262" i="5"/>
  <c r="H262" i="5" s="1"/>
  <c r="E262" i="5"/>
  <c r="F262" i="5" s="1"/>
  <c r="C262" i="5"/>
  <c r="L261" i="5"/>
  <c r="G261" i="5"/>
  <c r="H261" i="5" s="1"/>
  <c r="E261" i="5"/>
  <c r="F261" i="5" s="1"/>
  <c r="C261" i="5"/>
  <c r="L260" i="5"/>
  <c r="G260" i="5"/>
  <c r="H260" i="5" s="1"/>
  <c r="E260" i="5"/>
  <c r="F260" i="5" s="1"/>
  <c r="I260" i="5" s="1"/>
  <c r="C260" i="5"/>
  <c r="L259" i="5"/>
  <c r="G259" i="5"/>
  <c r="H259" i="5" s="1"/>
  <c r="E259" i="5"/>
  <c r="F259" i="5" s="1"/>
  <c r="I259" i="5" s="1"/>
  <c r="C259" i="5"/>
  <c r="L258" i="5"/>
  <c r="G258" i="5"/>
  <c r="H258" i="5" s="1"/>
  <c r="E258" i="5"/>
  <c r="F258" i="5" s="1"/>
  <c r="I258" i="5" s="1"/>
  <c r="C258" i="5"/>
  <c r="L257" i="5"/>
  <c r="G257" i="5"/>
  <c r="H257" i="5" s="1"/>
  <c r="E257" i="5"/>
  <c r="F257" i="5" s="1"/>
  <c r="I257" i="5" s="1"/>
  <c r="C257" i="5"/>
  <c r="L256" i="5"/>
  <c r="G256" i="5"/>
  <c r="H256" i="5" s="1"/>
  <c r="E256" i="5"/>
  <c r="F256" i="5" s="1"/>
  <c r="C256" i="5"/>
  <c r="L255" i="5"/>
  <c r="G255" i="5"/>
  <c r="H255" i="5" s="1"/>
  <c r="E255" i="5"/>
  <c r="F255" i="5" s="1"/>
  <c r="C255" i="5"/>
  <c r="L254" i="5"/>
  <c r="G254" i="5"/>
  <c r="H254" i="5" s="1"/>
  <c r="E254" i="5"/>
  <c r="F254" i="5" s="1"/>
  <c r="I254" i="5" s="1"/>
  <c r="C254" i="5"/>
  <c r="L253" i="5"/>
  <c r="G253" i="5"/>
  <c r="H253" i="5" s="1"/>
  <c r="E253" i="5"/>
  <c r="F253" i="5" s="1"/>
  <c r="I253" i="5" s="1"/>
  <c r="C253" i="5"/>
  <c r="L252" i="5"/>
  <c r="G252" i="5"/>
  <c r="H252" i="5" s="1"/>
  <c r="E252" i="5"/>
  <c r="F252" i="5" s="1"/>
  <c r="C252" i="5"/>
  <c r="L251" i="5"/>
  <c r="G251" i="5"/>
  <c r="H251" i="5" s="1"/>
  <c r="E251" i="5"/>
  <c r="F251" i="5" s="1"/>
  <c r="C251" i="5"/>
  <c r="L250" i="5"/>
  <c r="G250" i="5"/>
  <c r="H250" i="5" s="1"/>
  <c r="E250" i="5"/>
  <c r="F250" i="5" s="1"/>
  <c r="C250" i="5"/>
  <c r="L249" i="5"/>
  <c r="G249" i="5"/>
  <c r="H249" i="5" s="1"/>
  <c r="E249" i="5"/>
  <c r="F249" i="5" s="1"/>
  <c r="C249" i="5"/>
  <c r="L248" i="5"/>
  <c r="G248" i="5"/>
  <c r="H248" i="5" s="1"/>
  <c r="E248" i="5"/>
  <c r="F248" i="5" s="1"/>
  <c r="C248" i="5"/>
  <c r="L247" i="5"/>
  <c r="G247" i="5"/>
  <c r="H247" i="5" s="1"/>
  <c r="E247" i="5"/>
  <c r="F247" i="5" s="1"/>
  <c r="I247" i="5" s="1"/>
  <c r="C247" i="5"/>
  <c r="L246" i="5"/>
  <c r="G246" i="5"/>
  <c r="H246" i="5" s="1"/>
  <c r="E246" i="5"/>
  <c r="F246" i="5" s="1"/>
  <c r="C246" i="5"/>
  <c r="L245" i="5"/>
  <c r="G245" i="5"/>
  <c r="H245" i="5" s="1"/>
  <c r="E245" i="5"/>
  <c r="F245" i="5" s="1"/>
  <c r="C245" i="5"/>
  <c r="L244" i="5"/>
  <c r="G244" i="5"/>
  <c r="H244" i="5" s="1"/>
  <c r="E244" i="5"/>
  <c r="F244" i="5" s="1"/>
  <c r="C244" i="5"/>
  <c r="L243" i="5"/>
  <c r="G243" i="5"/>
  <c r="H243" i="5" s="1"/>
  <c r="E243" i="5"/>
  <c r="F243" i="5" s="1"/>
  <c r="I243" i="5" s="1"/>
  <c r="C243" i="5"/>
  <c r="L242" i="5"/>
  <c r="G242" i="5"/>
  <c r="H242" i="5" s="1"/>
  <c r="E242" i="5"/>
  <c r="F242" i="5" s="1"/>
  <c r="C242" i="5"/>
  <c r="L241" i="5"/>
  <c r="G241" i="5"/>
  <c r="H241" i="5" s="1"/>
  <c r="E241" i="5"/>
  <c r="F241" i="5" s="1"/>
  <c r="C241" i="5"/>
  <c r="L240" i="5"/>
  <c r="G240" i="5"/>
  <c r="H240" i="5" s="1"/>
  <c r="E240" i="5"/>
  <c r="F240" i="5" s="1"/>
  <c r="C240" i="5"/>
  <c r="L239" i="5"/>
  <c r="G239" i="5"/>
  <c r="H239" i="5" s="1"/>
  <c r="E239" i="5"/>
  <c r="F239" i="5" s="1"/>
  <c r="C239" i="5"/>
  <c r="L238" i="5"/>
  <c r="G238" i="5"/>
  <c r="H238" i="5" s="1"/>
  <c r="E238" i="5"/>
  <c r="F238" i="5" s="1"/>
  <c r="C238" i="5"/>
  <c r="L237" i="5"/>
  <c r="G237" i="5"/>
  <c r="H237" i="5" s="1"/>
  <c r="E237" i="5"/>
  <c r="F237" i="5" s="1"/>
  <c r="I237" i="5" s="1"/>
  <c r="C237" i="5"/>
  <c r="L236" i="5"/>
  <c r="G236" i="5"/>
  <c r="H236" i="5" s="1"/>
  <c r="E236" i="5"/>
  <c r="F236" i="5" s="1"/>
  <c r="C236" i="5"/>
  <c r="L235" i="5"/>
  <c r="G235" i="5"/>
  <c r="H235" i="5" s="1"/>
  <c r="E235" i="5"/>
  <c r="F235" i="5" s="1"/>
  <c r="C235" i="5"/>
  <c r="L234" i="5"/>
  <c r="G234" i="5"/>
  <c r="H234" i="5" s="1"/>
  <c r="E234" i="5"/>
  <c r="F234" i="5" s="1"/>
  <c r="C234" i="5"/>
  <c r="L233" i="5"/>
  <c r="G233" i="5"/>
  <c r="H233" i="5" s="1"/>
  <c r="E233" i="5"/>
  <c r="F233" i="5" s="1"/>
  <c r="C233" i="5"/>
  <c r="L232" i="5"/>
  <c r="G232" i="5"/>
  <c r="H232" i="5" s="1"/>
  <c r="E232" i="5"/>
  <c r="F232" i="5" s="1"/>
  <c r="C232" i="5"/>
  <c r="L231" i="5"/>
  <c r="G231" i="5"/>
  <c r="H231" i="5" s="1"/>
  <c r="E231" i="5"/>
  <c r="F231" i="5" s="1"/>
  <c r="I231" i="5" s="1"/>
  <c r="C231" i="5"/>
  <c r="L230" i="5"/>
  <c r="G230" i="5"/>
  <c r="H230" i="5" s="1"/>
  <c r="E230" i="5"/>
  <c r="F230" i="5" s="1"/>
  <c r="C230" i="5"/>
  <c r="L229" i="5"/>
  <c r="G229" i="5"/>
  <c r="H229" i="5" s="1"/>
  <c r="E229" i="5"/>
  <c r="F229" i="5" s="1"/>
  <c r="C229" i="5"/>
  <c r="L228" i="5"/>
  <c r="G228" i="5"/>
  <c r="H228" i="5" s="1"/>
  <c r="E228" i="5"/>
  <c r="F228" i="5" s="1"/>
  <c r="C228" i="5"/>
  <c r="L227" i="5"/>
  <c r="G227" i="5"/>
  <c r="H227" i="5" s="1"/>
  <c r="E227" i="5"/>
  <c r="F227" i="5" s="1"/>
  <c r="C227" i="5"/>
  <c r="L226" i="5"/>
  <c r="G226" i="5"/>
  <c r="H226" i="5" s="1"/>
  <c r="E226" i="5"/>
  <c r="F226" i="5" s="1"/>
  <c r="C226" i="5"/>
  <c r="L225" i="5"/>
  <c r="G225" i="5"/>
  <c r="H225" i="5" s="1"/>
  <c r="E225" i="5"/>
  <c r="F225" i="5" s="1"/>
  <c r="C225" i="5"/>
  <c r="L224" i="5"/>
  <c r="G224" i="5"/>
  <c r="H224" i="5" s="1"/>
  <c r="E224" i="5"/>
  <c r="F224" i="5" s="1"/>
  <c r="I224" i="5" s="1"/>
  <c r="C224" i="5"/>
  <c r="L223" i="5"/>
  <c r="G223" i="5"/>
  <c r="H223" i="5" s="1"/>
  <c r="E223" i="5"/>
  <c r="F223" i="5" s="1"/>
  <c r="I223" i="5" s="1"/>
  <c r="C223" i="5"/>
  <c r="L222" i="5"/>
  <c r="G222" i="5"/>
  <c r="H222" i="5" s="1"/>
  <c r="E222" i="5"/>
  <c r="F222" i="5" s="1"/>
  <c r="C222" i="5"/>
  <c r="L221" i="5"/>
  <c r="G221" i="5"/>
  <c r="H221" i="5" s="1"/>
  <c r="E221" i="5"/>
  <c r="F221" i="5" s="1"/>
  <c r="C221" i="5"/>
  <c r="L220" i="5"/>
  <c r="G220" i="5"/>
  <c r="H220" i="5" s="1"/>
  <c r="E220" i="5"/>
  <c r="F220" i="5" s="1"/>
  <c r="I220" i="5" s="1"/>
  <c r="C220" i="5"/>
  <c r="L219" i="5"/>
  <c r="G219" i="5"/>
  <c r="H219" i="5" s="1"/>
  <c r="E219" i="5"/>
  <c r="F219" i="5" s="1"/>
  <c r="C219" i="5"/>
  <c r="L218" i="5"/>
  <c r="G218" i="5"/>
  <c r="H218" i="5" s="1"/>
  <c r="E218" i="5"/>
  <c r="F218" i="5" s="1"/>
  <c r="C218" i="5"/>
  <c r="L217" i="5"/>
  <c r="G217" i="5"/>
  <c r="H217" i="5" s="1"/>
  <c r="E217" i="5"/>
  <c r="F217" i="5" s="1"/>
  <c r="C217" i="5"/>
  <c r="L216" i="5"/>
  <c r="G216" i="5"/>
  <c r="H216" i="5" s="1"/>
  <c r="E216" i="5"/>
  <c r="F216" i="5" s="1"/>
  <c r="C216" i="5"/>
  <c r="L215" i="5"/>
  <c r="G215" i="5"/>
  <c r="H215" i="5" s="1"/>
  <c r="E215" i="5"/>
  <c r="F215" i="5" s="1"/>
  <c r="C215" i="5"/>
  <c r="L214" i="5"/>
  <c r="G214" i="5"/>
  <c r="H214" i="5" s="1"/>
  <c r="E214" i="5"/>
  <c r="F214" i="5" s="1"/>
  <c r="C214" i="5"/>
  <c r="L213" i="5"/>
  <c r="G213" i="5"/>
  <c r="H213" i="5" s="1"/>
  <c r="E213" i="5"/>
  <c r="F213" i="5" s="1"/>
  <c r="C213" i="5"/>
  <c r="L212" i="5"/>
  <c r="G212" i="5"/>
  <c r="H212" i="5" s="1"/>
  <c r="E212" i="5"/>
  <c r="F212" i="5" s="1"/>
  <c r="C212" i="5"/>
  <c r="L211" i="5"/>
  <c r="G211" i="5"/>
  <c r="H211" i="5" s="1"/>
  <c r="E211" i="5"/>
  <c r="F211" i="5" s="1"/>
  <c r="I211" i="5" s="1"/>
  <c r="C211" i="5"/>
  <c r="L210" i="5"/>
  <c r="G210" i="5"/>
  <c r="H210" i="5" s="1"/>
  <c r="E210" i="5"/>
  <c r="F210" i="5" s="1"/>
  <c r="I210" i="5" s="1"/>
  <c r="C210" i="5"/>
  <c r="L209" i="5"/>
  <c r="G209" i="5"/>
  <c r="H209" i="5" s="1"/>
  <c r="E209" i="5"/>
  <c r="F209" i="5" s="1"/>
  <c r="C209" i="5"/>
  <c r="L208" i="5"/>
  <c r="G208" i="5"/>
  <c r="H208" i="5" s="1"/>
  <c r="E208" i="5"/>
  <c r="F208" i="5" s="1"/>
  <c r="I208" i="5" s="1"/>
  <c r="C208" i="5"/>
  <c r="L207" i="5"/>
  <c r="G207" i="5"/>
  <c r="H207" i="5" s="1"/>
  <c r="E207" i="5"/>
  <c r="F207" i="5" s="1"/>
  <c r="I207" i="5" s="1"/>
  <c r="C207" i="5"/>
  <c r="L206" i="5"/>
  <c r="G206" i="5"/>
  <c r="H206" i="5" s="1"/>
  <c r="E206" i="5"/>
  <c r="F206" i="5" s="1"/>
  <c r="C206" i="5"/>
  <c r="L205" i="5"/>
  <c r="G205" i="5"/>
  <c r="H205" i="5" s="1"/>
  <c r="E205" i="5"/>
  <c r="F205" i="5" s="1"/>
  <c r="I205" i="5" s="1"/>
  <c r="C205" i="5"/>
  <c r="L204" i="5"/>
  <c r="G204" i="5"/>
  <c r="H204" i="5" s="1"/>
  <c r="E204" i="5"/>
  <c r="F204" i="5" s="1"/>
  <c r="C204" i="5"/>
  <c r="L203" i="5"/>
  <c r="G203" i="5"/>
  <c r="H203" i="5" s="1"/>
  <c r="E203" i="5"/>
  <c r="F203" i="5" s="1"/>
  <c r="C203" i="5"/>
  <c r="L202" i="5"/>
  <c r="G202" i="5"/>
  <c r="H202" i="5" s="1"/>
  <c r="E202" i="5"/>
  <c r="F202" i="5" s="1"/>
  <c r="I202" i="5" s="1"/>
  <c r="C202" i="5"/>
  <c r="L201" i="5"/>
  <c r="G201" i="5"/>
  <c r="H201" i="5" s="1"/>
  <c r="E201" i="5"/>
  <c r="F201" i="5" s="1"/>
  <c r="I201" i="5" s="1"/>
  <c r="C201" i="5"/>
  <c r="L200" i="5"/>
  <c r="G200" i="5"/>
  <c r="H200" i="5" s="1"/>
  <c r="E200" i="5"/>
  <c r="F200" i="5" s="1"/>
  <c r="C200" i="5"/>
  <c r="L199" i="5"/>
  <c r="G199" i="5"/>
  <c r="H199" i="5" s="1"/>
  <c r="E199" i="5"/>
  <c r="F199" i="5" s="1"/>
  <c r="I199" i="5" s="1"/>
  <c r="C199" i="5"/>
  <c r="L198" i="5"/>
  <c r="G198" i="5"/>
  <c r="H198" i="5" s="1"/>
  <c r="E198" i="5"/>
  <c r="F198" i="5" s="1"/>
  <c r="C198" i="5"/>
  <c r="L197" i="5"/>
  <c r="G197" i="5"/>
  <c r="H197" i="5" s="1"/>
  <c r="E197" i="5"/>
  <c r="F197" i="5" s="1"/>
  <c r="C197" i="5"/>
  <c r="L196" i="5"/>
  <c r="G196" i="5"/>
  <c r="H196" i="5" s="1"/>
  <c r="E196" i="5"/>
  <c r="F196" i="5" s="1"/>
  <c r="C196" i="5"/>
  <c r="L195" i="5"/>
  <c r="G195" i="5"/>
  <c r="H195" i="5" s="1"/>
  <c r="E195" i="5"/>
  <c r="F195" i="5" s="1"/>
  <c r="I195" i="5" s="1"/>
  <c r="C195" i="5"/>
  <c r="L194" i="5"/>
  <c r="G194" i="5"/>
  <c r="H194" i="5" s="1"/>
  <c r="E194" i="5"/>
  <c r="F194" i="5" s="1"/>
  <c r="C194" i="5"/>
  <c r="L193" i="5"/>
  <c r="G193" i="5"/>
  <c r="H193" i="5" s="1"/>
  <c r="E193" i="5"/>
  <c r="F193" i="5" s="1"/>
  <c r="C193" i="5"/>
  <c r="L192" i="5"/>
  <c r="G192" i="5"/>
  <c r="H192" i="5" s="1"/>
  <c r="E192" i="5"/>
  <c r="F192" i="5" s="1"/>
  <c r="I192" i="5" s="1"/>
  <c r="C192" i="5"/>
  <c r="L191" i="5"/>
  <c r="G191" i="5"/>
  <c r="H191" i="5" s="1"/>
  <c r="E191" i="5"/>
  <c r="F191" i="5" s="1"/>
  <c r="C191" i="5"/>
  <c r="L190" i="5"/>
  <c r="G190" i="5"/>
  <c r="H190" i="5" s="1"/>
  <c r="E190" i="5"/>
  <c r="F190" i="5" s="1"/>
  <c r="C190" i="5"/>
  <c r="L189" i="5"/>
  <c r="G189" i="5"/>
  <c r="H189" i="5" s="1"/>
  <c r="E189" i="5"/>
  <c r="F189" i="5" s="1"/>
  <c r="C189" i="5"/>
  <c r="L188" i="5"/>
  <c r="G188" i="5"/>
  <c r="H188" i="5" s="1"/>
  <c r="E188" i="5"/>
  <c r="F188" i="5" s="1"/>
  <c r="C188" i="5"/>
  <c r="L187" i="5"/>
  <c r="G187" i="5"/>
  <c r="H187" i="5" s="1"/>
  <c r="E187" i="5"/>
  <c r="F187" i="5" s="1"/>
  <c r="C187" i="5"/>
  <c r="L186" i="5"/>
  <c r="G186" i="5"/>
  <c r="H186" i="5" s="1"/>
  <c r="E186" i="5"/>
  <c r="F186" i="5" s="1"/>
  <c r="C186" i="5"/>
  <c r="L185" i="5"/>
  <c r="G185" i="5"/>
  <c r="H185" i="5" s="1"/>
  <c r="E185" i="5"/>
  <c r="F185" i="5" s="1"/>
  <c r="C185" i="5"/>
  <c r="L184" i="5"/>
  <c r="G184" i="5"/>
  <c r="H184" i="5" s="1"/>
  <c r="E184" i="5"/>
  <c r="F184" i="5" s="1"/>
  <c r="C184" i="5"/>
  <c r="L183" i="5"/>
  <c r="G183" i="5"/>
  <c r="H183" i="5" s="1"/>
  <c r="E183" i="5"/>
  <c r="F183" i="5" s="1"/>
  <c r="C183" i="5"/>
  <c r="L182" i="5"/>
  <c r="G182" i="5"/>
  <c r="H182" i="5" s="1"/>
  <c r="E182" i="5"/>
  <c r="F182" i="5" s="1"/>
  <c r="C182" i="5"/>
  <c r="L181" i="5"/>
  <c r="G181" i="5"/>
  <c r="H181" i="5" s="1"/>
  <c r="E181" i="5"/>
  <c r="F181" i="5" s="1"/>
  <c r="C181" i="5"/>
  <c r="L180" i="5"/>
  <c r="G180" i="5"/>
  <c r="H180" i="5" s="1"/>
  <c r="E180" i="5"/>
  <c r="F180" i="5" s="1"/>
  <c r="I180" i="5" s="1"/>
  <c r="C180" i="5"/>
  <c r="L179" i="5"/>
  <c r="G179" i="5"/>
  <c r="H179" i="5" s="1"/>
  <c r="E179" i="5"/>
  <c r="F179" i="5" s="1"/>
  <c r="C179" i="5"/>
  <c r="L178" i="5"/>
  <c r="G178" i="5"/>
  <c r="H178" i="5" s="1"/>
  <c r="E178" i="5"/>
  <c r="F178" i="5" s="1"/>
  <c r="I178" i="5" s="1"/>
  <c r="C178" i="5"/>
  <c r="L177" i="5"/>
  <c r="G177" i="5"/>
  <c r="H177" i="5" s="1"/>
  <c r="E177" i="5"/>
  <c r="F177" i="5" s="1"/>
  <c r="C177" i="5"/>
  <c r="L176" i="5"/>
  <c r="G176" i="5"/>
  <c r="H176" i="5" s="1"/>
  <c r="E176" i="5"/>
  <c r="F176" i="5" s="1"/>
  <c r="C176" i="5"/>
  <c r="L175" i="5"/>
  <c r="G175" i="5"/>
  <c r="H175" i="5" s="1"/>
  <c r="E175" i="5"/>
  <c r="F175" i="5" s="1"/>
  <c r="C175" i="5"/>
  <c r="L174" i="5"/>
  <c r="G174" i="5"/>
  <c r="H174" i="5" s="1"/>
  <c r="E174" i="5"/>
  <c r="F174" i="5" s="1"/>
  <c r="I174" i="5" s="1"/>
  <c r="C174" i="5"/>
  <c r="L173" i="5"/>
  <c r="G173" i="5"/>
  <c r="H173" i="5" s="1"/>
  <c r="E173" i="5"/>
  <c r="F173" i="5" s="1"/>
  <c r="C173" i="5"/>
  <c r="L172" i="5"/>
  <c r="G172" i="5"/>
  <c r="H172" i="5" s="1"/>
  <c r="E172" i="5"/>
  <c r="F172" i="5" s="1"/>
  <c r="C172" i="5"/>
  <c r="L171" i="5"/>
  <c r="G171" i="5"/>
  <c r="H171" i="5" s="1"/>
  <c r="E171" i="5"/>
  <c r="F171" i="5" s="1"/>
  <c r="I171" i="5" s="1"/>
  <c r="C171" i="5"/>
  <c r="L170" i="5"/>
  <c r="G170" i="5"/>
  <c r="H170" i="5" s="1"/>
  <c r="E170" i="5"/>
  <c r="F170" i="5" s="1"/>
  <c r="C170" i="5"/>
  <c r="L169" i="5"/>
  <c r="G169" i="5"/>
  <c r="H169" i="5" s="1"/>
  <c r="E169" i="5"/>
  <c r="F169" i="5" s="1"/>
  <c r="I169" i="5" s="1"/>
  <c r="C169" i="5"/>
  <c r="L168" i="5"/>
  <c r="G168" i="5"/>
  <c r="H168" i="5" s="1"/>
  <c r="E168" i="5"/>
  <c r="F168" i="5" s="1"/>
  <c r="C168" i="5"/>
  <c r="L167" i="5"/>
  <c r="G167" i="5"/>
  <c r="H167" i="5" s="1"/>
  <c r="E167" i="5"/>
  <c r="F167" i="5" s="1"/>
  <c r="I167" i="5" s="1"/>
  <c r="C167" i="5"/>
  <c r="L166" i="5"/>
  <c r="G166" i="5"/>
  <c r="H166" i="5" s="1"/>
  <c r="E166" i="5"/>
  <c r="F166" i="5" s="1"/>
  <c r="C166" i="5"/>
  <c r="L165" i="5"/>
  <c r="G165" i="5"/>
  <c r="H165" i="5" s="1"/>
  <c r="E165" i="5"/>
  <c r="F165" i="5" s="1"/>
  <c r="C165" i="5"/>
  <c r="L164" i="5"/>
  <c r="G164" i="5"/>
  <c r="H164" i="5" s="1"/>
  <c r="E164" i="5"/>
  <c r="F164" i="5" s="1"/>
  <c r="C164" i="5"/>
  <c r="L163" i="5"/>
  <c r="G163" i="5"/>
  <c r="H163" i="5" s="1"/>
  <c r="E163" i="5"/>
  <c r="F163" i="5" s="1"/>
  <c r="C163" i="5"/>
  <c r="L162" i="5"/>
  <c r="G162" i="5"/>
  <c r="H162" i="5" s="1"/>
  <c r="E162" i="5"/>
  <c r="F162" i="5" s="1"/>
  <c r="C162" i="5"/>
  <c r="L161" i="5"/>
  <c r="G161" i="5"/>
  <c r="H161" i="5" s="1"/>
  <c r="E161" i="5"/>
  <c r="F161" i="5" s="1"/>
  <c r="I161" i="5" s="1"/>
  <c r="C161" i="5"/>
  <c r="L160" i="5"/>
  <c r="G160" i="5"/>
  <c r="H160" i="5" s="1"/>
  <c r="E160" i="5"/>
  <c r="F160" i="5" s="1"/>
  <c r="C160" i="5"/>
  <c r="L159" i="5"/>
  <c r="G159" i="5"/>
  <c r="H159" i="5" s="1"/>
  <c r="E159" i="5"/>
  <c r="F159" i="5" s="1"/>
  <c r="C159" i="5"/>
  <c r="L158" i="5"/>
  <c r="G158" i="5"/>
  <c r="H158" i="5" s="1"/>
  <c r="E158" i="5"/>
  <c r="F158" i="5" s="1"/>
  <c r="I158" i="5" s="1"/>
  <c r="C158" i="5"/>
  <c r="L157" i="5"/>
  <c r="G157" i="5"/>
  <c r="H157" i="5" s="1"/>
  <c r="E157" i="5"/>
  <c r="F157" i="5" s="1"/>
  <c r="I157" i="5" s="1"/>
  <c r="C157" i="5"/>
  <c r="L156" i="5"/>
  <c r="G156" i="5"/>
  <c r="H156" i="5" s="1"/>
  <c r="E156" i="5"/>
  <c r="F156" i="5" s="1"/>
  <c r="C156" i="5"/>
  <c r="L155" i="5"/>
  <c r="G155" i="5"/>
  <c r="H155" i="5" s="1"/>
  <c r="E155" i="5"/>
  <c r="F155" i="5" s="1"/>
  <c r="I155" i="5" s="1"/>
  <c r="C155" i="5"/>
  <c r="L154" i="5"/>
  <c r="G154" i="5"/>
  <c r="H154" i="5" s="1"/>
  <c r="E154" i="5"/>
  <c r="F154" i="5" s="1"/>
  <c r="C154" i="5"/>
  <c r="L153" i="5"/>
  <c r="G153" i="5"/>
  <c r="H153" i="5" s="1"/>
  <c r="E153" i="5"/>
  <c r="F153" i="5" s="1"/>
  <c r="I153" i="5" s="1"/>
  <c r="C153" i="5"/>
  <c r="L152" i="5"/>
  <c r="G152" i="5"/>
  <c r="H152" i="5" s="1"/>
  <c r="E152" i="5"/>
  <c r="F152" i="5" s="1"/>
  <c r="I152" i="5" s="1"/>
  <c r="C152" i="5"/>
  <c r="L151" i="5"/>
  <c r="G151" i="5"/>
  <c r="H151" i="5" s="1"/>
  <c r="E151" i="5"/>
  <c r="F151" i="5" s="1"/>
  <c r="C151" i="5"/>
  <c r="L150" i="5"/>
  <c r="G150" i="5"/>
  <c r="H150" i="5" s="1"/>
  <c r="E150" i="5"/>
  <c r="F150" i="5" s="1"/>
  <c r="C150" i="5"/>
  <c r="L149" i="5"/>
  <c r="G149" i="5"/>
  <c r="H149" i="5" s="1"/>
  <c r="E149" i="5"/>
  <c r="F149" i="5" s="1"/>
  <c r="C149" i="5"/>
  <c r="L148" i="5"/>
  <c r="G148" i="5"/>
  <c r="H148" i="5" s="1"/>
  <c r="E148" i="5"/>
  <c r="F148" i="5" s="1"/>
  <c r="C148" i="5"/>
  <c r="L147" i="5"/>
  <c r="G147" i="5"/>
  <c r="H147" i="5" s="1"/>
  <c r="E147" i="5"/>
  <c r="F147" i="5" s="1"/>
  <c r="C147" i="5"/>
  <c r="L146" i="5"/>
  <c r="G146" i="5"/>
  <c r="H146" i="5" s="1"/>
  <c r="E146" i="5"/>
  <c r="F146" i="5" s="1"/>
  <c r="I146" i="5" s="1"/>
  <c r="C146" i="5"/>
  <c r="L145" i="5"/>
  <c r="G145" i="5"/>
  <c r="H145" i="5" s="1"/>
  <c r="E145" i="5"/>
  <c r="F145" i="5" s="1"/>
  <c r="I145" i="5" s="1"/>
  <c r="C145" i="5"/>
  <c r="L144" i="5"/>
  <c r="G144" i="5"/>
  <c r="H144" i="5" s="1"/>
  <c r="E144" i="5"/>
  <c r="F144" i="5" s="1"/>
  <c r="I144" i="5" s="1"/>
  <c r="C144" i="5"/>
  <c r="L143" i="5"/>
  <c r="G143" i="5"/>
  <c r="H143" i="5" s="1"/>
  <c r="E143" i="5"/>
  <c r="F143" i="5" s="1"/>
  <c r="I143" i="5" s="1"/>
  <c r="C143" i="5"/>
  <c r="L142" i="5"/>
  <c r="G142" i="5"/>
  <c r="H142" i="5" s="1"/>
  <c r="E142" i="5"/>
  <c r="F142" i="5" s="1"/>
  <c r="C142" i="5"/>
  <c r="L141" i="5"/>
  <c r="G141" i="5"/>
  <c r="H141" i="5" s="1"/>
  <c r="E141" i="5"/>
  <c r="F141" i="5" s="1"/>
  <c r="I141" i="5" s="1"/>
  <c r="C141" i="5"/>
  <c r="L140" i="5"/>
  <c r="G140" i="5"/>
  <c r="H140" i="5" s="1"/>
  <c r="E140" i="5"/>
  <c r="F140" i="5" s="1"/>
  <c r="I140" i="5" s="1"/>
  <c r="C140" i="5"/>
  <c r="L139" i="5"/>
  <c r="G139" i="5"/>
  <c r="H139" i="5" s="1"/>
  <c r="E139" i="5"/>
  <c r="F139" i="5" s="1"/>
  <c r="I139" i="5" s="1"/>
  <c r="C139" i="5"/>
  <c r="L138" i="5"/>
  <c r="G138" i="5"/>
  <c r="H138" i="5" s="1"/>
  <c r="E138" i="5"/>
  <c r="F138" i="5" s="1"/>
  <c r="C138" i="5"/>
  <c r="L137" i="5"/>
  <c r="G137" i="5"/>
  <c r="H137" i="5" s="1"/>
  <c r="E137" i="5"/>
  <c r="F137" i="5" s="1"/>
  <c r="I137" i="5" s="1"/>
  <c r="C137" i="5"/>
  <c r="L136" i="5"/>
  <c r="G136" i="5"/>
  <c r="H136" i="5" s="1"/>
  <c r="E136" i="5"/>
  <c r="F136" i="5" s="1"/>
  <c r="I136" i="5" s="1"/>
  <c r="C136" i="5"/>
  <c r="L135" i="5"/>
  <c r="G135" i="5"/>
  <c r="H135" i="5" s="1"/>
  <c r="E135" i="5"/>
  <c r="F135" i="5" s="1"/>
  <c r="I135" i="5" s="1"/>
  <c r="C135" i="5"/>
  <c r="L134" i="5"/>
  <c r="G134" i="5"/>
  <c r="H134" i="5" s="1"/>
  <c r="E134" i="5"/>
  <c r="F134" i="5" s="1"/>
  <c r="I134" i="5" s="1"/>
  <c r="C134" i="5"/>
  <c r="L133" i="5"/>
  <c r="G133" i="5"/>
  <c r="H133" i="5" s="1"/>
  <c r="E133" i="5"/>
  <c r="F133" i="5" s="1"/>
  <c r="I133" i="5" s="1"/>
  <c r="C133" i="5"/>
  <c r="L132" i="5"/>
  <c r="G132" i="5"/>
  <c r="H132" i="5" s="1"/>
  <c r="E132" i="5"/>
  <c r="F132" i="5" s="1"/>
  <c r="C132" i="5"/>
  <c r="L131" i="5"/>
  <c r="G131" i="5"/>
  <c r="H131" i="5" s="1"/>
  <c r="E131" i="5"/>
  <c r="F131" i="5" s="1"/>
  <c r="I131" i="5" s="1"/>
  <c r="C131" i="5"/>
  <c r="L130" i="5"/>
  <c r="G130" i="5"/>
  <c r="H130" i="5" s="1"/>
  <c r="E130" i="5"/>
  <c r="F130" i="5" s="1"/>
  <c r="C130" i="5"/>
  <c r="L129" i="5"/>
  <c r="G129" i="5"/>
  <c r="H129" i="5" s="1"/>
  <c r="E129" i="5"/>
  <c r="F129" i="5" s="1"/>
  <c r="I129" i="5" s="1"/>
  <c r="C129" i="5"/>
  <c r="L128" i="5"/>
  <c r="G128" i="5"/>
  <c r="H128" i="5" s="1"/>
  <c r="E128" i="5"/>
  <c r="F128" i="5" s="1"/>
  <c r="I128" i="5" s="1"/>
  <c r="C128" i="5"/>
  <c r="L127" i="5"/>
  <c r="G127" i="5"/>
  <c r="H127" i="5" s="1"/>
  <c r="E127" i="5"/>
  <c r="F127" i="5" s="1"/>
  <c r="C127" i="5"/>
  <c r="L126" i="5"/>
  <c r="G126" i="5"/>
  <c r="H126" i="5" s="1"/>
  <c r="E126" i="5"/>
  <c r="F126" i="5" s="1"/>
  <c r="C126" i="5"/>
  <c r="L125" i="5"/>
  <c r="G125" i="5"/>
  <c r="H125" i="5" s="1"/>
  <c r="E125" i="5"/>
  <c r="F125" i="5" s="1"/>
  <c r="I125" i="5" s="1"/>
  <c r="C125" i="5"/>
  <c r="L124" i="5"/>
  <c r="G124" i="5"/>
  <c r="H124" i="5" s="1"/>
  <c r="E124" i="5"/>
  <c r="F124" i="5" s="1"/>
  <c r="I124" i="5" s="1"/>
  <c r="C124" i="5"/>
  <c r="L123" i="5"/>
  <c r="G123" i="5"/>
  <c r="H123" i="5" s="1"/>
  <c r="E123" i="5"/>
  <c r="F123" i="5" s="1"/>
  <c r="C123" i="5"/>
  <c r="L122" i="5"/>
  <c r="G122" i="5"/>
  <c r="H122" i="5" s="1"/>
  <c r="E122" i="5"/>
  <c r="F122" i="5" s="1"/>
  <c r="I122" i="5" s="1"/>
  <c r="C122" i="5"/>
  <c r="L121" i="5"/>
  <c r="G121" i="5"/>
  <c r="H121" i="5" s="1"/>
  <c r="E121" i="5"/>
  <c r="F121" i="5" s="1"/>
  <c r="I121" i="5" s="1"/>
  <c r="C121" i="5"/>
  <c r="L120" i="5"/>
  <c r="G120" i="5"/>
  <c r="H120" i="5" s="1"/>
  <c r="E120" i="5"/>
  <c r="F120" i="5" s="1"/>
  <c r="I120" i="5" s="1"/>
  <c r="C120" i="5"/>
  <c r="L119" i="5"/>
  <c r="G119" i="5"/>
  <c r="H119" i="5" s="1"/>
  <c r="E119" i="5"/>
  <c r="F119" i="5" s="1"/>
  <c r="C119" i="5"/>
  <c r="L118" i="5"/>
  <c r="G118" i="5"/>
  <c r="H118" i="5" s="1"/>
  <c r="E118" i="5"/>
  <c r="F118" i="5" s="1"/>
  <c r="C118" i="5"/>
  <c r="L117" i="5"/>
  <c r="G117" i="5"/>
  <c r="H117" i="5" s="1"/>
  <c r="E117" i="5"/>
  <c r="F117" i="5" s="1"/>
  <c r="C117" i="5"/>
  <c r="L116" i="5"/>
  <c r="G116" i="5"/>
  <c r="H116" i="5" s="1"/>
  <c r="E116" i="5"/>
  <c r="F116" i="5" s="1"/>
  <c r="C116" i="5"/>
  <c r="L115" i="5"/>
  <c r="G115" i="5"/>
  <c r="H115" i="5" s="1"/>
  <c r="E115" i="5"/>
  <c r="F115" i="5" s="1"/>
  <c r="C115" i="5"/>
  <c r="L114" i="5"/>
  <c r="G114" i="5"/>
  <c r="H114" i="5" s="1"/>
  <c r="E114" i="5"/>
  <c r="F114" i="5" s="1"/>
  <c r="I114" i="5" s="1"/>
  <c r="C114" i="5"/>
  <c r="L113" i="5"/>
  <c r="G113" i="5"/>
  <c r="H113" i="5" s="1"/>
  <c r="E113" i="5"/>
  <c r="F113" i="5" s="1"/>
  <c r="C113" i="5"/>
  <c r="L112" i="5"/>
  <c r="G112" i="5"/>
  <c r="H112" i="5" s="1"/>
  <c r="E112" i="5"/>
  <c r="F112" i="5" s="1"/>
  <c r="I112" i="5" s="1"/>
  <c r="C112" i="5"/>
  <c r="L111" i="5"/>
  <c r="G111" i="5"/>
  <c r="H111" i="5" s="1"/>
  <c r="E111" i="5"/>
  <c r="F111" i="5" s="1"/>
  <c r="C111" i="5"/>
  <c r="L110" i="5"/>
  <c r="G110" i="5"/>
  <c r="H110" i="5" s="1"/>
  <c r="E110" i="5"/>
  <c r="F110" i="5" s="1"/>
  <c r="C110" i="5"/>
  <c r="L109" i="5"/>
  <c r="G109" i="5"/>
  <c r="H109" i="5" s="1"/>
  <c r="E109" i="5"/>
  <c r="F109" i="5" s="1"/>
  <c r="C109" i="5"/>
  <c r="L108" i="5"/>
  <c r="G108" i="5"/>
  <c r="H108" i="5" s="1"/>
  <c r="E108" i="5"/>
  <c r="F108" i="5" s="1"/>
  <c r="C108" i="5"/>
  <c r="L107" i="5"/>
  <c r="G107" i="5"/>
  <c r="H107" i="5" s="1"/>
  <c r="E107" i="5"/>
  <c r="F107" i="5" s="1"/>
  <c r="C107" i="5"/>
  <c r="L106" i="5"/>
  <c r="G106" i="5"/>
  <c r="H106" i="5" s="1"/>
  <c r="E106" i="5"/>
  <c r="F106" i="5" s="1"/>
  <c r="C106" i="5"/>
  <c r="L105" i="5"/>
  <c r="G105" i="5"/>
  <c r="H105" i="5" s="1"/>
  <c r="E105" i="5"/>
  <c r="F105" i="5" s="1"/>
  <c r="I105" i="5" s="1"/>
  <c r="C105" i="5"/>
  <c r="L104" i="5"/>
  <c r="G104" i="5"/>
  <c r="H104" i="5" s="1"/>
  <c r="E104" i="5"/>
  <c r="F104" i="5" s="1"/>
  <c r="C104" i="5"/>
  <c r="L103" i="5"/>
  <c r="G103" i="5"/>
  <c r="H103" i="5" s="1"/>
  <c r="E103" i="5"/>
  <c r="F103" i="5" s="1"/>
  <c r="I103" i="5" s="1"/>
  <c r="C103" i="5"/>
  <c r="L102" i="5"/>
  <c r="G102" i="5"/>
  <c r="H102" i="5" s="1"/>
  <c r="E102" i="5"/>
  <c r="F102" i="5" s="1"/>
  <c r="C102" i="5"/>
  <c r="L101" i="5"/>
  <c r="G101" i="5"/>
  <c r="H101" i="5" s="1"/>
  <c r="E101" i="5"/>
  <c r="F101" i="5" s="1"/>
  <c r="I101" i="5" s="1"/>
  <c r="C101" i="5"/>
  <c r="L100" i="5"/>
  <c r="G100" i="5"/>
  <c r="H100" i="5" s="1"/>
  <c r="E100" i="5"/>
  <c r="F100" i="5" s="1"/>
  <c r="I100" i="5" s="1"/>
  <c r="C100" i="5"/>
  <c r="L99" i="5"/>
  <c r="G99" i="5"/>
  <c r="H99" i="5" s="1"/>
  <c r="E99" i="5"/>
  <c r="F99" i="5" s="1"/>
  <c r="C99" i="5"/>
  <c r="L98" i="5"/>
  <c r="G98" i="5"/>
  <c r="H98" i="5" s="1"/>
  <c r="E98" i="5"/>
  <c r="F98" i="5" s="1"/>
  <c r="I98" i="5" s="1"/>
  <c r="C98" i="5"/>
  <c r="L97" i="5"/>
  <c r="G97" i="5"/>
  <c r="H97" i="5" s="1"/>
  <c r="E97" i="5"/>
  <c r="F97" i="5" s="1"/>
  <c r="C97" i="5"/>
  <c r="L96" i="5"/>
  <c r="G96" i="5"/>
  <c r="H96" i="5" s="1"/>
  <c r="E96" i="5"/>
  <c r="F96" i="5" s="1"/>
  <c r="C96" i="5"/>
  <c r="L95" i="5"/>
  <c r="G95" i="5"/>
  <c r="H95" i="5" s="1"/>
  <c r="E95" i="5"/>
  <c r="F95" i="5" s="1"/>
  <c r="C95" i="5"/>
  <c r="L94" i="5"/>
  <c r="G94" i="5"/>
  <c r="H94" i="5" s="1"/>
  <c r="E94" i="5"/>
  <c r="F94" i="5" s="1"/>
  <c r="I94" i="5" s="1"/>
  <c r="C94" i="5"/>
  <c r="L93" i="5"/>
  <c r="G93" i="5"/>
  <c r="H93" i="5" s="1"/>
  <c r="E93" i="5"/>
  <c r="F93" i="5" s="1"/>
  <c r="I93" i="5" s="1"/>
  <c r="C93" i="5"/>
  <c r="L92" i="5"/>
  <c r="G92" i="5"/>
  <c r="H92" i="5" s="1"/>
  <c r="E92" i="5"/>
  <c r="F92" i="5" s="1"/>
  <c r="C92" i="5"/>
  <c r="L91" i="5"/>
  <c r="G91" i="5"/>
  <c r="H91" i="5" s="1"/>
  <c r="E91" i="5"/>
  <c r="F91" i="5" s="1"/>
  <c r="I91" i="5" s="1"/>
  <c r="C91" i="5"/>
  <c r="L90" i="5"/>
  <c r="G90" i="5"/>
  <c r="H90" i="5" s="1"/>
  <c r="E90" i="5"/>
  <c r="F90" i="5" s="1"/>
  <c r="C90" i="5"/>
  <c r="L89" i="5"/>
  <c r="G89" i="5"/>
  <c r="H89" i="5" s="1"/>
  <c r="E89" i="5"/>
  <c r="F89" i="5" s="1"/>
  <c r="C89" i="5"/>
  <c r="L88" i="5"/>
  <c r="G88" i="5"/>
  <c r="H88" i="5" s="1"/>
  <c r="E88" i="5"/>
  <c r="F88" i="5" s="1"/>
  <c r="C88" i="5"/>
  <c r="L87" i="5"/>
  <c r="G87" i="5"/>
  <c r="H87" i="5" s="1"/>
  <c r="E87" i="5"/>
  <c r="F87" i="5" s="1"/>
  <c r="C87" i="5"/>
  <c r="L86" i="5"/>
  <c r="G86" i="5"/>
  <c r="H86" i="5" s="1"/>
  <c r="E86" i="5"/>
  <c r="F86" i="5" s="1"/>
  <c r="C86" i="5"/>
  <c r="L85" i="5"/>
  <c r="G85" i="5"/>
  <c r="H85" i="5" s="1"/>
  <c r="E85" i="5"/>
  <c r="F85" i="5" s="1"/>
  <c r="I85" i="5" s="1"/>
  <c r="C85" i="5"/>
  <c r="L84" i="5"/>
  <c r="G84" i="5"/>
  <c r="H84" i="5" s="1"/>
  <c r="E84" i="5"/>
  <c r="F84" i="5" s="1"/>
  <c r="C84" i="5"/>
  <c r="L83" i="5"/>
  <c r="G83" i="5"/>
  <c r="H83" i="5" s="1"/>
  <c r="E83" i="5"/>
  <c r="F83" i="5" s="1"/>
  <c r="C83" i="5"/>
  <c r="L82" i="5"/>
  <c r="G82" i="5"/>
  <c r="H82" i="5" s="1"/>
  <c r="E82" i="5"/>
  <c r="F82" i="5" s="1"/>
  <c r="I82" i="5" s="1"/>
  <c r="C82" i="5"/>
  <c r="L81" i="5"/>
  <c r="G81" i="5"/>
  <c r="H81" i="5" s="1"/>
  <c r="E81" i="5"/>
  <c r="F81" i="5" s="1"/>
  <c r="C81" i="5"/>
  <c r="L80" i="5"/>
  <c r="G80" i="5"/>
  <c r="H80" i="5" s="1"/>
  <c r="E80" i="5"/>
  <c r="F80" i="5" s="1"/>
  <c r="C80" i="5"/>
  <c r="L79" i="5"/>
  <c r="G79" i="5"/>
  <c r="H79" i="5" s="1"/>
  <c r="E79" i="5"/>
  <c r="F79" i="5" s="1"/>
  <c r="C79" i="5"/>
  <c r="L78" i="5"/>
  <c r="G78" i="5"/>
  <c r="H78" i="5" s="1"/>
  <c r="E78" i="5"/>
  <c r="F78" i="5" s="1"/>
  <c r="C78" i="5"/>
  <c r="L77" i="5"/>
  <c r="G77" i="5"/>
  <c r="H77" i="5" s="1"/>
  <c r="E77" i="5"/>
  <c r="F77" i="5" s="1"/>
  <c r="C77" i="5"/>
  <c r="L76" i="5"/>
  <c r="G76" i="5"/>
  <c r="H76" i="5" s="1"/>
  <c r="E76" i="5"/>
  <c r="F76" i="5" s="1"/>
  <c r="C76" i="5"/>
  <c r="L75" i="5"/>
  <c r="G75" i="5"/>
  <c r="H75" i="5" s="1"/>
  <c r="E75" i="5"/>
  <c r="F75" i="5" s="1"/>
  <c r="I75" i="5" s="1"/>
  <c r="C75" i="5"/>
  <c r="L74" i="5"/>
  <c r="G74" i="5"/>
  <c r="H74" i="5" s="1"/>
  <c r="E74" i="5"/>
  <c r="F74" i="5" s="1"/>
  <c r="C74" i="5"/>
  <c r="L73" i="5"/>
  <c r="G73" i="5"/>
  <c r="H73" i="5" s="1"/>
  <c r="E73" i="5"/>
  <c r="F73" i="5" s="1"/>
  <c r="C73" i="5"/>
  <c r="L72" i="5"/>
  <c r="G72" i="5"/>
  <c r="H72" i="5" s="1"/>
  <c r="E72" i="5"/>
  <c r="F72" i="5" s="1"/>
  <c r="C72" i="5"/>
  <c r="L71" i="5"/>
  <c r="G71" i="5"/>
  <c r="H71" i="5" s="1"/>
  <c r="E71" i="5"/>
  <c r="F71" i="5" s="1"/>
  <c r="C71" i="5"/>
  <c r="L70" i="5"/>
  <c r="G70" i="5"/>
  <c r="H70" i="5" s="1"/>
  <c r="E70" i="5"/>
  <c r="F70" i="5" s="1"/>
  <c r="C70" i="5"/>
  <c r="L69" i="5"/>
  <c r="G69" i="5"/>
  <c r="H69" i="5" s="1"/>
  <c r="E69" i="5"/>
  <c r="F69" i="5" s="1"/>
  <c r="C69" i="5"/>
  <c r="L68" i="5"/>
  <c r="G68" i="5"/>
  <c r="H68" i="5" s="1"/>
  <c r="E68" i="5"/>
  <c r="F68" i="5" s="1"/>
  <c r="I68" i="5" s="1"/>
  <c r="C68" i="5"/>
  <c r="L67" i="5"/>
  <c r="G67" i="5"/>
  <c r="H67" i="5" s="1"/>
  <c r="E67" i="5"/>
  <c r="F67" i="5" s="1"/>
  <c r="I67" i="5" s="1"/>
  <c r="C67" i="5"/>
  <c r="L66" i="5"/>
  <c r="G66" i="5"/>
  <c r="H66" i="5" s="1"/>
  <c r="E66" i="5"/>
  <c r="F66" i="5" s="1"/>
  <c r="I66" i="5" s="1"/>
  <c r="C66" i="5"/>
  <c r="L65" i="5"/>
  <c r="G65" i="5"/>
  <c r="H65" i="5" s="1"/>
  <c r="E65" i="5"/>
  <c r="F65" i="5" s="1"/>
  <c r="C65" i="5"/>
  <c r="L64" i="5"/>
  <c r="G64" i="5"/>
  <c r="H64" i="5" s="1"/>
  <c r="E64" i="5"/>
  <c r="F64" i="5" s="1"/>
  <c r="I64" i="5" s="1"/>
  <c r="C64" i="5"/>
  <c r="L63" i="5"/>
  <c r="G63" i="5"/>
  <c r="H63" i="5" s="1"/>
  <c r="E63" i="5"/>
  <c r="F63" i="5" s="1"/>
  <c r="C63" i="5"/>
  <c r="L62" i="5"/>
  <c r="G62" i="5"/>
  <c r="H62" i="5" s="1"/>
  <c r="E62" i="5"/>
  <c r="F62" i="5" s="1"/>
  <c r="C62" i="5"/>
  <c r="L61" i="5"/>
  <c r="G61" i="5"/>
  <c r="H61" i="5" s="1"/>
  <c r="E61" i="5"/>
  <c r="F61" i="5" s="1"/>
  <c r="C61" i="5"/>
  <c r="L60" i="5"/>
  <c r="G60" i="5"/>
  <c r="H60" i="5" s="1"/>
  <c r="E60" i="5"/>
  <c r="F60" i="5" s="1"/>
  <c r="C60" i="5"/>
  <c r="L59" i="5"/>
  <c r="G59" i="5"/>
  <c r="H59" i="5" s="1"/>
  <c r="E59" i="5"/>
  <c r="F59" i="5" s="1"/>
  <c r="C59" i="5"/>
  <c r="L58" i="5"/>
  <c r="G58" i="5"/>
  <c r="H58" i="5" s="1"/>
  <c r="E58" i="5"/>
  <c r="F58" i="5" s="1"/>
  <c r="C58" i="5"/>
  <c r="L57" i="5"/>
  <c r="G57" i="5"/>
  <c r="H57" i="5" s="1"/>
  <c r="E57" i="5"/>
  <c r="F57" i="5" s="1"/>
  <c r="C57" i="5"/>
  <c r="L56" i="5"/>
  <c r="G56" i="5"/>
  <c r="H56" i="5" s="1"/>
  <c r="E56" i="5"/>
  <c r="F56" i="5" s="1"/>
  <c r="I56" i="5" s="1"/>
  <c r="C56" i="5"/>
  <c r="L55" i="5"/>
  <c r="G55" i="5"/>
  <c r="H55" i="5" s="1"/>
  <c r="E55" i="5"/>
  <c r="F55" i="5" s="1"/>
  <c r="I55" i="5" s="1"/>
  <c r="C55" i="5"/>
  <c r="L54" i="5"/>
  <c r="G54" i="5"/>
  <c r="H54" i="5" s="1"/>
  <c r="E54" i="5"/>
  <c r="F54" i="5" s="1"/>
  <c r="C54" i="5"/>
  <c r="L53" i="5"/>
  <c r="G53" i="5"/>
  <c r="H53" i="5" s="1"/>
  <c r="E53" i="5"/>
  <c r="F53" i="5" s="1"/>
  <c r="C53" i="5"/>
  <c r="L52" i="5"/>
  <c r="G52" i="5"/>
  <c r="H52" i="5" s="1"/>
  <c r="E52" i="5"/>
  <c r="F52" i="5" s="1"/>
  <c r="I52" i="5" s="1"/>
  <c r="C52" i="5"/>
  <c r="L51" i="5"/>
  <c r="G51" i="5"/>
  <c r="H51" i="5" s="1"/>
  <c r="E51" i="5"/>
  <c r="F51" i="5" s="1"/>
  <c r="C51" i="5"/>
  <c r="L50" i="5"/>
  <c r="G50" i="5"/>
  <c r="H50" i="5" s="1"/>
  <c r="E50" i="5"/>
  <c r="F50" i="5" s="1"/>
  <c r="I50" i="5" s="1"/>
  <c r="C50" i="5"/>
  <c r="L49" i="5"/>
  <c r="G49" i="5"/>
  <c r="H49" i="5" s="1"/>
  <c r="E49" i="5"/>
  <c r="F49" i="5" s="1"/>
  <c r="C49" i="5"/>
  <c r="L48" i="5"/>
  <c r="G48" i="5"/>
  <c r="H48" i="5" s="1"/>
  <c r="E48" i="5"/>
  <c r="F48" i="5" s="1"/>
  <c r="C48" i="5"/>
  <c r="L47" i="5"/>
  <c r="G47" i="5"/>
  <c r="H47" i="5" s="1"/>
  <c r="E47" i="5"/>
  <c r="F47" i="5" s="1"/>
  <c r="C47" i="5"/>
  <c r="L46" i="5"/>
  <c r="G46" i="5"/>
  <c r="H46" i="5" s="1"/>
  <c r="E46" i="5"/>
  <c r="F46" i="5" s="1"/>
  <c r="I46" i="5" s="1"/>
  <c r="C46" i="5"/>
  <c r="L45" i="5"/>
  <c r="G45" i="5"/>
  <c r="H45" i="5" s="1"/>
  <c r="E45" i="5"/>
  <c r="F45" i="5" s="1"/>
  <c r="C45" i="5"/>
  <c r="L44" i="5"/>
  <c r="G44" i="5"/>
  <c r="H44" i="5" s="1"/>
  <c r="E44" i="5"/>
  <c r="F44" i="5" s="1"/>
  <c r="C44" i="5"/>
  <c r="L43" i="5"/>
  <c r="G43" i="5"/>
  <c r="H43" i="5" s="1"/>
  <c r="E43" i="5"/>
  <c r="F43" i="5" s="1"/>
  <c r="C43" i="5"/>
  <c r="L42" i="5"/>
  <c r="G42" i="5"/>
  <c r="H42" i="5" s="1"/>
  <c r="E42" i="5"/>
  <c r="F42" i="5" s="1"/>
  <c r="I42" i="5" s="1"/>
  <c r="C42" i="5"/>
  <c r="L41" i="5"/>
  <c r="G41" i="5"/>
  <c r="H41" i="5" s="1"/>
  <c r="E41" i="5"/>
  <c r="F41" i="5" s="1"/>
  <c r="I41" i="5" s="1"/>
  <c r="C41" i="5"/>
  <c r="L40" i="5"/>
  <c r="G40" i="5"/>
  <c r="H40" i="5" s="1"/>
  <c r="E40" i="5"/>
  <c r="F40" i="5" s="1"/>
  <c r="I40" i="5" s="1"/>
  <c r="C40" i="5"/>
  <c r="L39" i="5"/>
  <c r="G39" i="5"/>
  <c r="H39" i="5" s="1"/>
  <c r="E39" i="5"/>
  <c r="F39" i="5" s="1"/>
  <c r="I39" i="5" s="1"/>
  <c r="C39" i="5"/>
  <c r="L38" i="5"/>
  <c r="G38" i="5"/>
  <c r="H38" i="5" s="1"/>
  <c r="E38" i="5"/>
  <c r="F38" i="5" s="1"/>
  <c r="I38" i="5" s="1"/>
  <c r="C38" i="5"/>
  <c r="L37" i="5"/>
  <c r="G37" i="5"/>
  <c r="H37" i="5" s="1"/>
  <c r="E37" i="5"/>
  <c r="F37" i="5" s="1"/>
  <c r="C37" i="5"/>
  <c r="L36" i="5"/>
  <c r="G36" i="5"/>
  <c r="H36" i="5" s="1"/>
  <c r="E36" i="5"/>
  <c r="F36" i="5" s="1"/>
  <c r="I36" i="5" s="1"/>
  <c r="C36" i="5"/>
  <c r="L35" i="5"/>
  <c r="G35" i="5"/>
  <c r="H35" i="5" s="1"/>
  <c r="E35" i="5"/>
  <c r="F35" i="5" s="1"/>
  <c r="C35" i="5"/>
  <c r="L34" i="5"/>
  <c r="G34" i="5"/>
  <c r="H34" i="5" s="1"/>
  <c r="E34" i="5"/>
  <c r="F34" i="5" s="1"/>
  <c r="I34" i="5" s="1"/>
  <c r="C34" i="5"/>
  <c r="L33" i="5"/>
  <c r="G33" i="5"/>
  <c r="H33" i="5" s="1"/>
  <c r="E33" i="5"/>
  <c r="F33" i="5" s="1"/>
  <c r="C33" i="5"/>
  <c r="L32" i="5"/>
  <c r="G32" i="5"/>
  <c r="H32" i="5" s="1"/>
  <c r="E32" i="5"/>
  <c r="F32" i="5" s="1"/>
  <c r="I32" i="5" s="1"/>
  <c r="C32" i="5"/>
  <c r="L31" i="5"/>
  <c r="G31" i="5"/>
  <c r="H31" i="5" s="1"/>
  <c r="E31" i="5"/>
  <c r="F31" i="5" s="1"/>
  <c r="C31" i="5"/>
  <c r="L30" i="5"/>
  <c r="G30" i="5"/>
  <c r="H30" i="5" s="1"/>
  <c r="E30" i="5"/>
  <c r="F30" i="5" s="1"/>
  <c r="I30" i="5" s="1"/>
  <c r="C30" i="5"/>
  <c r="L29" i="5"/>
  <c r="G29" i="5"/>
  <c r="H29" i="5" s="1"/>
  <c r="E29" i="5"/>
  <c r="F29" i="5" s="1"/>
  <c r="I29" i="5" s="1"/>
  <c r="C29" i="5"/>
  <c r="L28" i="5"/>
  <c r="G28" i="5"/>
  <c r="H28" i="5" s="1"/>
  <c r="E28" i="5"/>
  <c r="F28" i="5" s="1"/>
  <c r="C28" i="5"/>
  <c r="L27" i="5"/>
  <c r="G27" i="5"/>
  <c r="H27" i="5" s="1"/>
  <c r="E27" i="5"/>
  <c r="F27" i="5" s="1"/>
  <c r="C27" i="5"/>
  <c r="L26" i="5"/>
  <c r="G26" i="5"/>
  <c r="H26" i="5" s="1"/>
  <c r="E26" i="5"/>
  <c r="F26" i="5" s="1"/>
  <c r="C26" i="5"/>
  <c r="L25" i="5"/>
  <c r="G25" i="5"/>
  <c r="H25" i="5" s="1"/>
  <c r="E25" i="5"/>
  <c r="F25" i="5" s="1"/>
  <c r="C25" i="5"/>
  <c r="L24" i="5"/>
  <c r="G24" i="5"/>
  <c r="H24" i="5" s="1"/>
  <c r="E24" i="5"/>
  <c r="F24" i="5" s="1"/>
  <c r="C24" i="5"/>
  <c r="L23" i="5"/>
  <c r="G23" i="5"/>
  <c r="H23" i="5" s="1"/>
  <c r="E23" i="5"/>
  <c r="F23" i="5" s="1"/>
  <c r="I23" i="5" s="1"/>
  <c r="C23" i="5"/>
  <c r="L22" i="5"/>
  <c r="G22" i="5"/>
  <c r="H22" i="5" s="1"/>
  <c r="E22" i="5"/>
  <c r="F22" i="5" s="1"/>
  <c r="C22" i="5"/>
  <c r="L21" i="5"/>
  <c r="G21" i="5"/>
  <c r="H21" i="5" s="1"/>
  <c r="E21" i="5"/>
  <c r="F21" i="5" s="1"/>
  <c r="C21" i="5"/>
  <c r="L20" i="5"/>
  <c r="G20" i="5"/>
  <c r="H20" i="5" s="1"/>
  <c r="E20" i="5"/>
  <c r="F20" i="5" s="1"/>
  <c r="C20" i="5"/>
  <c r="L19" i="5"/>
  <c r="G19" i="5"/>
  <c r="H19" i="5" s="1"/>
  <c r="E19" i="5"/>
  <c r="F19" i="5" s="1"/>
  <c r="C19" i="5"/>
  <c r="L18" i="5"/>
  <c r="G18" i="5"/>
  <c r="H18" i="5" s="1"/>
  <c r="E18" i="5"/>
  <c r="F18" i="5" s="1"/>
  <c r="C18" i="5"/>
  <c r="L17" i="5"/>
  <c r="G17" i="5"/>
  <c r="H17" i="5" s="1"/>
  <c r="E17" i="5"/>
  <c r="F17" i="5" s="1"/>
  <c r="C17" i="5"/>
  <c r="L16" i="5"/>
  <c r="G16" i="5"/>
  <c r="H16" i="5" s="1"/>
  <c r="E16" i="5"/>
  <c r="F16" i="5" s="1"/>
  <c r="C16" i="5"/>
  <c r="L15" i="5"/>
  <c r="G15" i="5"/>
  <c r="H15" i="5" s="1"/>
  <c r="E15" i="5"/>
  <c r="F15" i="5" s="1"/>
  <c r="C15" i="5"/>
  <c r="L14" i="5"/>
  <c r="G14" i="5"/>
  <c r="H14" i="5" s="1"/>
  <c r="E14" i="5"/>
  <c r="F14" i="5" s="1"/>
  <c r="C14" i="5"/>
  <c r="L13" i="5"/>
  <c r="G13" i="5"/>
  <c r="H13" i="5" s="1"/>
  <c r="E13" i="5"/>
  <c r="F13" i="5" s="1"/>
  <c r="C13" i="5"/>
  <c r="L12" i="5"/>
  <c r="G12" i="5"/>
  <c r="H12" i="5" s="1"/>
  <c r="E12" i="5"/>
  <c r="F12" i="5" s="1"/>
  <c r="C12" i="5"/>
  <c r="L11" i="5"/>
  <c r="G11" i="5"/>
  <c r="H11" i="5" s="1"/>
  <c r="E11" i="5"/>
  <c r="F11" i="5" s="1"/>
  <c r="C11" i="5"/>
  <c r="L10" i="5"/>
  <c r="G10" i="5"/>
  <c r="H10" i="5" s="1"/>
  <c r="E10" i="5"/>
  <c r="F10" i="5" s="1"/>
  <c r="C10" i="5"/>
  <c r="L9" i="5"/>
  <c r="G9" i="5"/>
  <c r="H9" i="5" s="1"/>
  <c r="E9" i="5"/>
  <c r="F9" i="5" s="1"/>
  <c r="C9" i="5"/>
  <c r="L8" i="5"/>
  <c r="G8" i="5"/>
  <c r="H8" i="5" s="1"/>
  <c r="E8" i="5"/>
  <c r="F8" i="5" s="1"/>
  <c r="C8" i="5"/>
  <c r="L7" i="5"/>
  <c r="G7" i="5"/>
  <c r="H7" i="5" s="1"/>
  <c r="E7" i="5"/>
  <c r="F7" i="5" s="1"/>
  <c r="C7" i="5"/>
  <c r="L6" i="5"/>
  <c r="G6" i="5"/>
  <c r="H6" i="5" s="1"/>
  <c r="E6" i="5"/>
  <c r="F6" i="5" s="1"/>
  <c r="C6" i="5"/>
  <c r="L5" i="5"/>
  <c r="G5" i="5"/>
  <c r="H5" i="5" s="1"/>
  <c r="E5" i="5"/>
  <c r="F5" i="5" s="1"/>
  <c r="C5" i="5"/>
  <c r="D69" i="4"/>
  <c r="G68" i="4"/>
  <c r="E68" i="4"/>
  <c r="F68" i="4" s="1"/>
  <c r="C68" i="4"/>
  <c r="G67" i="4"/>
  <c r="E67" i="4"/>
  <c r="F67" i="4" s="1"/>
  <c r="C67" i="4"/>
  <c r="G66" i="4"/>
  <c r="E66" i="4"/>
  <c r="F66" i="4" s="1"/>
  <c r="C66" i="4"/>
  <c r="G65" i="4"/>
  <c r="E65" i="4"/>
  <c r="F65" i="4" s="1"/>
  <c r="C65" i="4"/>
  <c r="G64" i="4"/>
  <c r="E64" i="4"/>
  <c r="F64" i="4" s="1"/>
  <c r="C64" i="4"/>
  <c r="G63" i="4"/>
  <c r="E63" i="4"/>
  <c r="F63" i="4" s="1"/>
  <c r="C63" i="4"/>
  <c r="G62" i="4"/>
  <c r="E62" i="4"/>
  <c r="F62" i="4" s="1"/>
  <c r="C62" i="4"/>
  <c r="G61" i="4"/>
  <c r="E61" i="4"/>
  <c r="F61" i="4" s="1"/>
  <c r="C61" i="4"/>
  <c r="G60" i="4"/>
  <c r="E60" i="4"/>
  <c r="F60" i="4" s="1"/>
  <c r="C60" i="4"/>
  <c r="G59" i="4"/>
  <c r="E59" i="4"/>
  <c r="F59" i="4" s="1"/>
  <c r="C59" i="4"/>
  <c r="G58" i="4"/>
  <c r="E58" i="4"/>
  <c r="F58" i="4" s="1"/>
  <c r="C58" i="4"/>
  <c r="G57" i="4"/>
  <c r="E57" i="4"/>
  <c r="F57" i="4" s="1"/>
  <c r="C57" i="4"/>
  <c r="G56" i="4"/>
  <c r="E56" i="4"/>
  <c r="F56" i="4" s="1"/>
  <c r="C56" i="4"/>
  <c r="G55" i="4"/>
  <c r="E55" i="4"/>
  <c r="F55" i="4" s="1"/>
  <c r="C55" i="4"/>
  <c r="G54" i="4"/>
  <c r="E54" i="4"/>
  <c r="F54" i="4" s="1"/>
  <c r="C54" i="4"/>
  <c r="G53" i="4"/>
  <c r="E53" i="4"/>
  <c r="F53" i="4" s="1"/>
  <c r="C53" i="4"/>
  <c r="G52" i="4"/>
  <c r="E52" i="4"/>
  <c r="F52" i="4" s="1"/>
  <c r="C52" i="4"/>
  <c r="G51" i="4"/>
  <c r="E51" i="4"/>
  <c r="F51" i="4" s="1"/>
  <c r="C51" i="4"/>
  <c r="G50" i="4"/>
  <c r="E50" i="4"/>
  <c r="F50" i="4" s="1"/>
  <c r="C50" i="4"/>
  <c r="G49" i="4"/>
  <c r="E49" i="4"/>
  <c r="F49" i="4" s="1"/>
  <c r="C49" i="4"/>
  <c r="G48" i="4"/>
  <c r="E48" i="4"/>
  <c r="F48" i="4" s="1"/>
  <c r="C48" i="4"/>
  <c r="G47" i="4"/>
  <c r="E47" i="4"/>
  <c r="F47" i="4" s="1"/>
  <c r="C47" i="4"/>
  <c r="G46" i="4"/>
  <c r="E46" i="4"/>
  <c r="F46" i="4" s="1"/>
  <c r="C46" i="4"/>
  <c r="G45" i="4"/>
  <c r="E45" i="4"/>
  <c r="F45" i="4" s="1"/>
  <c r="C45" i="4"/>
  <c r="G44" i="4"/>
  <c r="E44" i="4"/>
  <c r="F44" i="4" s="1"/>
  <c r="C44" i="4"/>
  <c r="G43" i="4"/>
  <c r="E43" i="4"/>
  <c r="F43" i="4" s="1"/>
  <c r="C43" i="4"/>
  <c r="G42" i="4"/>
  <c r="E42" i="4"/>
  <c r="F42" i="4" s="1"/>
  <c r="C42" i="4"/>
  <c r="G41" i="4"/>
  <c r="E41" i="4"/>
  <c r="F41" i="4" s="1"/>
  <c r="C41" i="4"/>
  <c r="G40" i="4"/>
  <c r="E40" i="4"/>
  <c r="F40" i="4" s="1"/>
  <c r="C40" i="4"/>
  <c r="G39" i="4"/>
  <c r="E39" i="4"/>
  <c r="F39" i="4" s="1"/>
  <c r="C39" i="4"/>
  <c r="G38" i="4"/>
  <c r="E38" i="4"/>
  <c r="F38" i="4" s="1"/>
  <c r="C38" i="4"/>
  <c r="G37" i="4"/>
  <c r="E37" i="4"/>
  <c r="F37" i="4" s="1"/>
  <c r="C37" i="4"/>
  <c r="G36" i="4"/>
  <c r="E36" i="4"/>
  <c r="F36" i="4" s="1"/>
  <c r="C36" i="4"/>
  <c r="G35" i="4"/>
  <c r="E35" i="4"/>
  <c r="F35" i="4" s="1"/>
  <c r="C35" i="4"/>
  <c r="G34" i="4"/>
  <c r="E34" i="4"/>
  <c r="F34" i="4" s="1"/>
  <c r="C34" i="4"/>
  <c r="G33" i="4"/>
  <c r="E33" i="4"/>
  <c r="F33" i="4" s="1"/>
  <c r="C33" i="4"/>
  <c r="G32" i="4"/>
  <c r="E32" i="4"/>
  <c r="F32" i="4" s="1"/>
  <c r="C32" i="4"/>
  <c r="G31" i="4"/>
  <c r="E31" i="4"/>
  <c r="F31" i="4" s="1"/>
  <c r="C31" i="4"/>
  <c r="G30" i="4"/>
  <c r="E30" i="4"/>
  <c r="F30" i="4" s="1"/>
  <c r="C30" i="4"/>
  <c r="G29" i="4"/>
  <c r="E29" i="4"/>
  <c r="F29" i="4" s="1"/>
  <c r="C29" i="4"/>
  <c r="G28" i="4"/>
  <c r="E28" i="4"/>
  <c r="F28" i="4" s="1"/>
  <c r="C28" i="4"/>
  <c r="G27" i="4"/>
  <c r="E27" i="4"/>
  <c r="F27" i="4" s="1"/>
  <c r="C27" i="4"/>
  <c r="G26" i="4"/>
  <c r="E26" i="4"/>
  <c r="F26" i="4" s="1"/>
  <c r="C26" i="4"/>
  <c r="G25" i="4"/>
  <c r="E25" i="4"/>
  <c r="F25" i="4" s="1"/>
  <c r="C25" i="4"/>
  <c r="G24" i="4"/>
  <c r="E24" i="4"/>
  <c r="F24" i="4" s="1"/>
  <c r="C24" i="4"/>
  <c r="G23" i="4"/>
  <c r="E23" i="4"/>
  <c r="F23" i="4" s="1"/>
  <c r="C23" i="4"/>
  <c r="G22" i="4"/>
  <c r="E22" i="4"/>
  <c r="F22" i="4" s="1"/>
  <c r="C22" i="4"/>
  <c r="G21" i="4"/>
  <c r="E21" i="4"/>
  <c r="F21" i="4" s="1"/>
  <c r="C21" i="4"/>
  <c r="G20" i="4"/>
  <c r="E20" i="4"/>
  <c r="F20" i="4" s="1"/>
  <c r="C20" i="4"/>
  <c r="G19" i="4"/>
  <c r="E19" i="4"/>
  <c r="F19" i="4" s="1"/>
  <c r="C19" i="4"/>
  <c r="G18" i="4"/>
  <c r="E18" i="4"/>
  <c r="F18" i="4" s="1"/>
  <c r="C18" i="4"/>
  <c r="G17" i="4"/>
  <c r="E17" i="4"/>
  <c r="F17" i="4" s="1"/>
  <c r="C17" i="4"/>
  <c r="G16" i="4"/>
  <c r="E16" i="4"/>
  <c r="F16" i="4" s="1"/>
  <c r="C16" i="4"/>
  <c r="G15" i="4"/>
  <c r="E15" i="4"/>
  <c r="F15" i="4" s="1"/>
  <c r="C15" i="4"/>
  <c r="G14" i="4"/>
  <c r="E14" i="4"/>
  <c r="F14" i="4" s="1"/>
  <c r="C14" i="4"/>
  <c r="G13" i="4"/>
  <c r="E13" i="4"/>
  <c r="F13" i="4" s="1"/>
  <c r="C13" i="4"/>
  <c r="G12" i="4"/>
  <c r="E12" i="4"/>
  <c r="F12" i="4" s="1"/>
  <c r="C12" i="4"/>
  <c r="G11" i="4"/>
  <c r="E11" i="4"/>
  <c r="F11" i="4" s="1"/>
  <c r="C11" i="4"/>
  <c r="G10" i="4"/>
  <c r="E10" i="4"/>
  <c r="F10" i="4" s="1"/>
  <c r="C10" i="4"/>
  <c r="G9" i="4"/>
  <c r="E9" i="4"/>
  <c r="F9" i="4" s="1"/>
  <c r="C9" i="4"/>
  <c r="G8" i="4"/>
  <c r="E8" i="4"/>
  <c r="F8" i="4" s="1"/>
  <c r="C8" i="4"/>
  <c r="G7" i="4"/>
  <c r="E7" i="4"/>
  <c r="F7" i="4" s="1"/>
  <c r="C7" i="4"/>
  <c r="G6" i="4"/>
  <c r="E6" i="4"/>
  <c r="F6" i="4" s="1"/>
  <c r="C6" i="4"/>
  <c r="G5" i="4"/>
  <c r="E5" i="4"/>
  <c r="F5" i="4" s="1"/>
  <c r="C5" i="4"/>
  <c r="O124" i="3"/>
  <c r="N124" i="3"/>
  <c r="M124" i="3"/>
  <c r="L124" i="3"/>
  <c r="K124" i="3"/>
  <c r="J124" i="3"/>
  <c r="H124" i="3"/>
  <c r="G124" i="3"/>
  <c r="O123" i="3"/>
  <c r="N123" i="3"/>
  <c r="M123" i="3"/>
  <c r="L123" i="3"/>
  <c r="K123" i="3"/>
  <c r="J123" i="3"/>
  <c r="H123" i="3"/>
  <c r="G123" i="3"/>
  <c r="O122" i="3"/>
  <c r="N122" i="3"/>
  <c r="M122" i="3"/>
  <c r="L122" i="3"/>
  <c r="K122" i="3"/>
  <c r="J122" i="3"/>
  <c r="H122" i="3"/>
  <c r="G122" i="3"/>
  <c r="O121" i="3"/>
  <c r="N121" i="3"/>
  <c r="M121" i="3"/>
  <c r="L121" i="3"/>
  <c r="K121" i="3"/>
  <c r="J121" i="3"/>
  <c r="H121" i="3"/>
  <c r="G121" i="3"/>
  <c r="O120" i="3"/>
  <c r="N120" i="3"/>
  <c r="M120" i="3"/>
  <c r="L120" i="3"/>
  <c r="K120" i="3"/>
  <c r="J120" i="3"/>
  <c r="H120" i="3"/>
  <c r="G120" i="3"/>
  <c r="O119" i="3"/>
  <c r="N119" i="3"/>
  <c r="M119" i="3"/>
  <c r="L119" i="3"/>
  <c r="K119" i="3"/>
  <c r="J119" i="3"/>
  <c r="H119" i="3"/>
  <c r="G119" i="3"/>
  <c r="O118" i="3"/>
  <c r="N118" i="3"/>
  <c r="M118" i="3"/>
  <c r="L118" i="3"/>
  <c r="K118" i="3"/>
  <c r="J118" i="3"/>
  <c r="H118" i="3"/>
  <c r="G118" i="3"/>
  <c r="O117" i="3"/>
  <c r="N117" i="3"/>
  <c r="M117" i="3"/>
  <c r="L117" i="3"/>
  <c r="K117" i="3"/>
  <c r="J117" i="3"/>
  <c r="H117" i="3"/>
  <c r="G117" i="3"/>
  <c r="O116" i="3"/>
  <c r="N116" i="3"/>
  <c r="M116" i="3"/>
  <c r="L116" i="3"/>
  <c r="K116" i="3"/>
  <c r="J116" i="3"/>
  <c r="H116" i="3"/>
  <c r="G116" i="3"/>
  <c r="O115" i="3"/>
  <c r="N115" i="3"/>
  <c r="M115" i="3"/>
  <c r="L115" i="3"/>
  <c r="K115" i="3"/>
  <c r="J115" i="3"/>
  <c r="H115" i="3"/>
  <c r="G115" i="3"/>
  <c r="O114" i="3"/>
  <c r="N114" i="3"/>
  <c r="M114" i="3"/>
  <c r="L114" i="3"/>
  <c r="K114" i="3"/>
  <c r="J114" i="3"/>
  <c r="H114" i="3"/>
  <c r="G114" i="3"/>
  <c r="O113" i="3"/>
  <c r="N113" i="3"/>
  <c r="M113" i="3"/>
  <c r="L113" i="3"/>
  <c r="K113" i="3"/>
  <c r="J113" i="3"/>
  <c r="H113" i="3"/>
  <c r="G113" i="3"/>
  <c r="O112" i="3"/>
  <c r="N112" i="3"/>
  <c r="M112" i="3"/>
  <c r="L112" i="3"/>
  <c r="K112" i="3"/>
  <c r="J112" i="3"/>
  <c r="H112" i="3"/>
  <c r="G112" i="3"/>
  <c r="O111" i="3"/>
  <c r="N111" i="3"/>
  <c r="M111" i="3"/>
  <c r="L111" i="3"/>
  <c r="K111" i="3"/>
  <c r="J111" i="3"/>
  <c r="H111" i="3"/>
  <c r="G111" i="3"/>
  <c r="O110" i="3"/>
  <c r="N110" i="3"/>
  <c r="M110" i="3"/>
  <c r="L110" i="3"/>
  <c r="K110" i="3"/>
  <c r="J110" i="3"/>
  <c r="H110" i="3"/>
  <c r="G110" i="3"/>
  <c r="O109" i="3"/>
  <c r="N109" i="3"/>
  <c r="M109" i="3"/>
  <c r="L109" i="3"/>
  <c r="K109" i="3"/>
  <c r="J109" i="3"/>
  <c r="H109" i="3"/>
  <c r="G109" i="3"/>
  <c r="O108" i="3"/>
  <c r="N108" i="3"/>
  <c r="M108" i="3"/>
  <c r="L108" i="3"/>
  <c r="K108" i="3"/>
  <c r="J108" i="3"/>
  <c r="H108" i="3"/>
  <c r="G108" i="3"/>
  <c r="O107" i="3"/>
  <c r="N107" i="3"/>
  <c r="M107" i="3"/>
  <c r="L107" i="3"/>
  <c r="K107" i="3"/>
  <c r="J107" i="3"/>
  <c r="H107" i="3"/>
  <c r="G107" i="3"/>
  <c r="O106" i="3"/>
  <c r="N106" i="3"/>
  <c r="M106" i="3"/>
  <c r="L106" i="3"/>
  <c r="K106" i="3"/>
  <c r="J106" i="3"/>
  <c r="H106" i="3"/>
  <c r="G106" i="3"/>
  <c r="O105" i="3"/>
  <c r="N105" i="3"/>
  <c r="M105" i="3"/>
  <c r="L105" i="3"/>
  <c r="K105" i="3"/>
  <c r="J105" i="3"/>
  <c r="H105" i="3"/>
  <c r="G105" i="3"/>
  <c r="O104" i="3"/>
  <c r="N104" i="3"/>
  <c r="M104" i="3"/>
  <c r="L104" i="3"/>
  <c r="K104" i="3"/>
  <c r="J104" i="3"/>
  <c r="H104" i="3"/>
  <c r="G104" i="3"/>
  <c r="O103" i="3"/>
  <c r="N103" i="3"/>
  <c r="M103" i="3"/>
  <c r="L103" i="3"/>
  <c r="K103" i="3"/>
  <c r="J103" i="3"/>
  <c r="H103" i="3"/>
  <c r="G103" i="3"/>
  <c r="O102" i="3"/>
  <c r="N102" i="3"/>
  <c r="M102" i="3"/>
  <c r="L102" i="3"/>
  <c r="K102" i="3"/>
  <c r="J102" i="3"/>
  <c r="H102" i="3"/>
  <c r="G102" i="3"/>
  <c r="O101" i="3"/>
  <c r="N101" i="3"/>
  <c r="M101" i="3"/>
  <c r="L101" i="3"/>
  <c r="K101" i="3"/>
  <c r="J101" i="3"/>
  <c r="H101" i="3"/>
  <c r="G101" i="3"/>
  <c r="O100" i="3"/>
  <c r="N100" i="3"/>
  <c r="M100" i="3"/>
  <c r="L100" i="3"/>
  <c r="K100" i="3"/>
  <c r="J100" i="3"/>
  <c r="H100" i="3"/>
  <c r="G100" i="3"/>
  <c r="O99" i="3"/>
  <c r="N99" i="3"/>
  <c r="M99" i="3"/>
  <c r="L99" i="3"/>
  <c r="K99" i="3"/>
  <c r="J99" i="3"/>
  <c r="H99" i="3"/>
  <c r="G99" i="3"/>
  <c r="O98" i="3"/>
  <c r="N98" i="3"/>
  <c r="M98" i="3"/>
  <c r="L98" i="3"/>
  <c r="K98" i="3"/>
  <c r="J98" i="3"/>
  <c r="H98" i="3"/>
  <c r="G98" i="3"/>
  <c r="O97" i="3"/>
  <c r="N97" i="3"/>
  <c r="M97" i="3"/>
  <c r="L97" i="3"/>
  <c r="K97" i="3"/>
  <c r="J97" i="3"/>
  <c r="H97" i="3"/>
  <c r="G97" i="3"/>
  <c r="O96" i="3"/>
  <c r="N96" i="3"/>
  <c r="M96" i="3"/>
  <c r="L96" i="3"/>
  <c r="K96" i="3"/>
  <c r="J96" i="3"/>
  <c r="H96" i="3"/>
  <c r="G96" i="3"/>
  <c r="O95" i="3"/>
  <c r="N95" i="3"/>
  <c r="M95" i="3"/>
  <c r="L95" i="3"/>
  <c r="K95" i="3"/>
  <c r="J95" i="3"/>
  <c r="H95" i="3"/>
  <c r="G95" i="3"/>
  <c r="O94" i="3"/>
  <c r="N94" i="3"/>
  <c r="M94" i="3"/>
  <c r="L94" i="3"/>
  <c r="K94" i="3"/>
  <c r="J94" i="3"/>
  <c r="H94" i="3"/>
  <c r="G94" i="3"/>
  <c r="O93" i="3"/>
  <c r="N93" i="3"/>
  <c r="M93" i="3"/>
  <c r="L93" i="3"/>
  <c r="K93" i="3"/>
  <c r="J93" i="3"/>
  <c r="H93" i="3"/>
  <c r="G93" i="3"/>
  <c r="O92" i="3"/>
  <c r="N92" i="3"/>
  <c r="M92" i="3"/>
  <c r="L92" i="3"/>
  <c r="K92" i="3"/>
  <c r="J92" i="3"/>
  <c r="H92" i="3"/>
  <c r="G92" i="3"/>
  <c r="O91" i="3"/>
  <c r="N91" i="3"/>
  <c r="M91" i="3"/>
  <c r="L91" i="3"/>
  <c r="K91" i="3"/>
  <c r="J91" i="3"/>
  <c r="H91" i="3"/>
  <c r="G91" i="3"/>
  <c r="O90" i="3"/>
  <c r="N90" i="3"/>
  <c r="M90" i="3"/>
  <c r="L90" i="3"/>
  <c r="K90" i="3"/>
  <c r="J90" i="3"/>
  <c r="H90" i="3"/>
  <c r="G90" i="3"/>
  <c r="O89" i="3"/>
  <c r="N89" i="3"/>
  <c r="M89" i="3"/>
  <c r="L89" i="3"/>
  <c r="K89" i="3"/>
  <c r="J89" i="3"/>
  <c r="H89" i="3"/>
  <c r="G89" i="3"/>
  <c r="O88" i="3"/>
  <c r="N88" i="3"/>
  <c r="M88" i="3"/>
  <c r="L88" i="3"/>
  <c r="K88" i="3"/>
  <c r="J88" i="3"/>
  <c r="H88" i="3"/>
  <c r="G88" i="3"/>
  <c r="O87" i="3"/>
  <c r="N87" i="3"/>
  <c r="M87" i="3"/>
  <c r="L87" i="3"/>
  <c r="K87" i="3"/>
  <c r="J87" i="3"/>
  <c r="H87" i="3"/>
  <c r="G87" i="3"/>
  <c r="O86" i="3"/>
  <c r="N86" i="3"/>
  <c r="M86" i="3"/>
  <c r="L86" i="3"/>
  <c r="K86" i="3"/>
  <c r="J86" i="3"/>
  <c r="H86" i="3"/>
  <c r="G86" i="3"/>
  <c r="O85" i="3"/>
  <c r="N85" i="3"/>
  <c r="M85" i="3"/>
  <c r="L85" i="3"/>
  <c r="K85" i="3"/>
  <c r="J85" i="3"/>
  <c r="H85" i="3"/>
  <c r="G85" i="3"/>
  <c r="O84" i="3"/>
  <c r="N84" i="3"/>
  <c r="M84" i="3"/>
  <c r="L84" i="3"/>
  <c r="K84" i="3"/>
  <c r="J84" i="3"/>
  <c r="H84" i="3"/>
  <c r="G84" i="3"/>
  <c r="O83" i="3"/>
  <c r="N83" i="3"/>
  <c r="M83" i="3"/>
  <c r="L83" i="3"/>
  <c r="K83" i="3"/>
  <c r="J83" i="3"/>
  <c r="H83" i="3"/>
  <c r="G83" i="3"/>
  <c r="O82" i="3"/>
  <c r="N82" i="3"/>
  <c r="M82" i="3"/>
  <c r="L82" i="3"/>
  <c r="K82" i="3"/>
  <c r="J82" i="3"/>
  <c r="H82" i="3"/>
  <c r="G82" i="3"/>
  <c r="O81" i="3"/>
  <c r="N81" i="3"/>
  <c r="M81" i="3"/>
  <c r="L81" i="3"/>
  <c r="K81" i="3"/>
  <c r="J81" i="3"/>
  <c r="H81" i="3"/>
  <c r="G81" i="3"/>
  <c r="O80" i="3"/>
  <c r="N80" i="3"/>
  <c r="M80" i="3"/>
  <c r="L80" i="3"/>
  <c r="K80" i="3"/>
  <c r="J80" i="3"/>
  <c r="H80" i="3"/>
  <c r="G80" i="3"/>
  <c r="O79" i="3"/>
  <c r="N79" i="3"/>
  <c r="M79" i="3"/>
  <c r="L79" i="3"/>
  <c r="K79" i="3"/>
  <c r="J79" i="3"/>
  <c r="H79" i="3"/>
  <c r="G79" i="3"/>
  <c r="O78" i="3"/>
  <c r="N78" i="3"/>
  <c r="M78" i="3"/>
  <c r="L78" i="3"/>
  <c r="K78" i="3"/>
  <c r="J78" i="3"/>
  <c r="H78" i="3"/>
  <c r="G78" i="3"/>
  <c r="O77" i="3"/>
  <c r="N77" i="3"/>
  <c r="M77" i="3"/>
  <c r="L77" i="3"/>
  <c r="K77" i="3"/>
  <c r="J77" i="3"/>
  <c r="H77" i="3"/>
  <c r="G77" i="3"/>
  <c r="O76" i="3"/>
  <c r="N76" i="3"/>
  <c r="M76" i="3"/>
  <c r="L76" i="3"/>
  <c r="K76" i="3"/>
  <c r="J76" i="3"/>
  <c r="H76" i="3"/>
  <c r="G76" i="3"/>
  <c r="O75" i="3"/>
  <c r="N75" i="3"/>
  <c r="M75" i="3"/>
  <c r="L75" i="3"/>
  <c r="K75" i="3"/>
  <c r="J75" i="3"/>
  <c r="H75" i="3"/>
  <c r="G75" i="3"/>
  <c r="O74" i="3"/>
  <c r="N74" i="3"/>
  <c r="M74" i="3"/>
  <c r="L74" i="3"/>
  <c r="K74" i="3"/>
  <c r="J74" i="3"/>
  <c r="H74" i="3"/>
  <c r="G74" i="3"/>
  <c r="O73" i="3"/>
  <c r="N73" i="3"/>
  <c r="M73" i="3"/>
  <c r="L73" i="3"/>
  <c r="K73" i="3"/>
  <c r="J73" i="3"/>
  <c r="H73" i="3"/>
  <c r="G73" i="3"/>
  <c r="O72" i="3"/>
  <c r="N72" i="3"/>
  <c r="M72" i="3"/>
  <c r="L72" i="3"/>
  <c r="K72" i="3"/>
  <c r="J72" i="3"/>
  <c r="H72" i="3"/>
  <c r="G72" i="3"/>
  <c r="O71" i="3"/>
  <c r="N71" i="3"/>
  <c r="M71" i="3"/>
  <c r="L71" i="3"/>
  <c r="K71" i="3"/>
  <c r="J71" i="3"/>
  <c r="H71" i="3"/>
  <c r="G71" i="3"/>
  <c r="O70" i="3"/>
  <c r="N70" i="3"/>
  <c r="M70" i="3"/>
  <c r="L70" i="3"/>
  <c r="K70" i="3"/>
  <c r="J70" i="3"/>
  <c r="H70" i="3"/>
  <c r="G70" i="3"/>
  <c r="O69" i="3"/>
  <c r="N69" i="3"/>
  <c r="M69" i="3"/>
  <c r="L69" i="3"/>
  <c r="K69" i="3"/>
  <c r="J69" i="3"/>
  <c r="H69" i="3"/>
  <c r="G69" i="3"/>
  <c r="O68" i="3"/>
  <c r="N68" i="3"/>
  <c r="M68" i="3"/>
  <c r="L68" i="3"/>
  <c r="K68" i="3"/>
  <c r="J68" i="3"/>
  <c r="H68" i="3"/>
  <c r="G68" i="3"/>
  <c r="O67" i="3"/>
  <c r="N67" i="3"/>
  <c r="M67" i="3"/>
  <c r="L67" i="3"/>
  <c r="K67" i="3"/>
  <c r="J67" i="3"/>
  <c r="H67" i="3"/>
  <c r="G67" i="3"/>
  <c r="O66" i="3"/>
  <c r="N66" i="3"/>
  <c r="M66" i="3"/>
  <c r="L66" i="3"/>
  <c r="K66" i="3"/>
  <c r="J66" i="3"/>
  <c r="H66" i="3"/>
  <c r="G66" i="3"/>
  <c r="O65" i="3"/>
  <c r="N65" i="3"/>
  <c r="M65" i="3"/>
  <c r="L65" i="3"/>
  <c r="K65" i="3"/>
  <c r="J65" i="3"/>
  <c r="H65" i="3"/>
  <c r="G65" i="3"/>
  <c r="O64" i="3"/>
  <c r="N64" i="3"/>
  <c r="M64" i="3"/>
  <c r="L64" i="3"/>
  <c r="K64" i="3"/>
  <c r="J64" i="3"/>
  <c r="H64" i="3"/>
  <c r="G64" i="3"/>
  <c r="O63" i="3"/>
  <c r="N63" i="3"/>
  <c r="M63" i="3"/>
  <c r="L63" i="3"/>
  <c r="K63" i="3"/>
  <c r="J63" i="3"/>
  <c r="H63" i="3"/>
  <c r="G63" i="3"/>
  <c r="O62" i="3"/>
  <c r="N62" i="3"/>
  <c r="M62" i="3"/>
  <c r="L62" i="3"/>
  <c r="K62" i="3"/>
  <c r="J62" i="3"/>
  <c r="H62" i="3"/>
  <c r="G62" i="3"/>
  <c r="O61" i="3"/>
  <c r="N61" i="3"/>
  <c r="M61" i="3"/>
  <c r="L61" i="3"/>
  <c r="K61" i="3"/>
  <c r="J61" i="3"/>
  <c r="H61" i="3"/>
  <c r="G61" i="3"/>
  <c r="O60" i="3"/>
  <c r="N60" i="3"/>
  <c r="M60" i="3"/>
  <c r="L60" i="3"/>
  <c r="K60" i="3"/>
  <c r="J60" i="3"/>
  <c r="H60" i="3"/>
  <c r="G60" i="3"/>
  <c r="O59" i="3"/>
  <c r="N59" i="3"/>
  <c r="M59" i="3"/>
  <c r="L59" i="3"/>
  <c r="K59" i="3"/>
  <c r="J59" i="3"/>
  <c r="H59" i="3"/>
  <c r="G59" i="3"/>
  <c r="O58" i="3"/>
  <c r="N58" i="3"/>
  <c r="M58" i="3"/>
  <c r="L58" i="3"/>
  <c r="K58" i="3"/>
  <c r="J58" i="3"/>
  <c r="H58" i="3"/>
  <c r="G58" i="3"/>
  <c r="O57" i="3"/>
  <c r="N57" i="3"/>
  <c r="M57" i="3"/>
  <c r="L57" i="3"/>
  <c r="K57" i="3"/>
  <c r="J57" i="3"/>
  <c r="H57" i="3"/>
  <c r="G57" i="3"/>
  <c r="O56" i="3"/>
  <c r="N56" i="3"/>
  <c r="M56" i="3"/>
  <c r="L56" i="3"/>
  <c r="K56" i="3"/>
  <c r="J56" i="3"/>
  <c r="H56" i="3"/>
  <c r="G56" i="3"/>
  <c r="O55" i="3"/>
  <c r="N55" i="3"/>
  <c r="M55" i="3"/>
  <c r="L55" i="3"/>
  <c r="K55" i="3"/>
  <c r="J55" i="3"/>
  <c r="H55" i="3"/>
  <c r="G55" i="3"/>
  <c r="O54" i="3"/>
  <c r="N54" i="3"/>
  <c r="M54" i="3"/>
  <c r="L54" i="3"/>
  <c r="K54" i="3"/>
  <c r="J54" i="3"/>
  <c r="H54" i="3"/>
  <c r="G54" i="3"/>
  <c r="O53" i="3"/>
  <c r="N53" i="3"/>
  <c r="M53" i="3"/>
  <c r="L53" i="3"/>
  <c r="K53" i="3"/>
  <c r="J53" i="3"/>
  <c r="H53" i="3"/>
  <c r="G53" i="3"/>
  <c r="O52" i="3"/>
  <c r="N52" i="3"/>
  <c r="M52" i="3"/>
  <c r="L52" i="3"/>
  <c r="K52" i="3"/>
  <c r="J52" i="3"/>
  <c r="H52" i="3"/>
  <c r="G52" i="3"/>
  <c r="O51" i="3"/>
  <c r="N51" i="3"/>
  <c r="M51" i="3"/>
  <c r="L51" i="3"/>
  <c r="K51" i="3"/>
  <c r="J51" i="3"/>
  <c r="H51" i="3"/>
  <c r="G51" i="3"/>
  <c r="O50" i="3"/>
  <c r="N50" i="3"/>
  <c r="M50" i="3"/>
  <c r="L50" i="3"/>
  <c r="K50" i="3"/>
  <c r="J50" i="3"/>
  <c r="H50" i="3"/>
  <c r="G50" i="3"/>
  <c r="O49" i="3"/>
  <c r="N49" i="3"/>
  <c r="M49" i="3"/>
  <c r="L49" i="3"/>
  <c r="K49" i="3"/>
  <c r="J49" i="3"/>
  <c r="H49" i="3"/>
  <c r="G49" i="3"/>
  <c r="O48" i="3"/>
  <c r="N48" i="3"/>
  <c r="M48" i="3"/>
  <c r="L48" i="3"/>
  <c r="K48" i="3"/>
  <c r="J48" i="3"/>
  <c r="H48" i="3"/>
  <c r="G48" i="3"/>
  <c r="O47" i="3"/>
  <c r="N47" i="3"/>
  <c r="M47" i="3"/>
  <c r="L47" i="3"/>
  <c r="K47" i="3"/>
  <c r="J47" i="3"/>
  <c r="H47" i="3"/>
  <c r="G47" i="3"/>
  <c r="O46" i="3"/>
  <c r="N46" i="3"/>
  <c r="M46" i="3"/>
  <c r="L46" i="3"/>
  <c r="K46" i="3"/>
  <c r="J46" i="3"/>
  <c r="H46" i="3"/>
  <c r="G46" i="3"/>
  <c r="O45" i="3"/>
  <c r="N45" i="3"/>
  <c r="M45" i="3"/>
  <c r="L45" i="3"/>
  <c r="K45" i="3"/>
  <c r="J45" i="3"/>
  <c r="H45" i="3"/>
  <c r="G45" i="3"/>
  <c r="O44" i="3"/>
  <c r="N44" i="3"/>
  <c r="M44" i="3"/>
  <c r="L44" i="3"/>
  <c r="K44" i="3"/>
  <c r="J44" i="3"/>
  <c r="H44" i="3"/>
  <c r="G44" i="3"/>
  <c r="O43" i="3"/>
  <c r="N43" i="3"/>
  <c r="M43" i="3"/>
  <c r="L43" i="3"/>
  <c r="K43" i="3"/>
  <c r="J43" i="3"/>
  <c r="H43" i="3"/>
  <c r="G43" i="3"/>
  <c r="O42" i="3"/>
  <c r="N42" i="3"/>
  <c r="M42" i="3"/>
  <c r="L42" i="3"/>
  <c r="K42" i="3"/>
  <c r="J42" i="3"/>
  <c r="H42" i="3"/>
  <c r="G42" i="3"/>
  <c r="O41" i="3"/>
  <c r="N41" i="3"/>
  <c r="M41" i="3"/>
  <c r="L41" i="3"/>
  <c r="K41" i="3"/>
  <c r="J41" i="3"/>
  <c r="H41" i="3"/>
  <c r="G41" i="3"/>
  <c r="O40" i="3"/>
  <c r="N40" i="3"/>
  <c r="M40" i="3"/>
  <c r="L40" i="3"/>
  <c r="K40" i="3"/>
  <c r="J40" i="3"/>
  <c r="H40" i="3"/>
  <c r="G40" i="3"/>
  <c r="O39" i="3"/>
  <c r="N39" i="3"/>
  <c r="M39" i="3"/>
  <c r="L39" i="3"/>
  <c r="K39" i="3"/>
  <c r="J39" i="3"/>
  <c r="H39" i="3"/>
  <c r="G39" i="3"/>
  <c r="O38" i="3"/>
  <c r="N38" i="3"/>
  <c r="M38" i="3"/>
  <c r="L38" i="3"/>
  <c r="K38" i="3"/>
  <c r="J38" i="3"/>
  <c r="H38" i="3"/>
  <c r="G38" i="3"/>
  <c r="O37" i="3"/>
  <c r="N37" i="3"/>
  <c r="M37" i="3"/>
  <c r="L37" i="3"/>
  <c r="K37" i="3"/>
  <c r="J37" i="3"/>
  <c r="H37" i="3"/>
  <c r="G37" i="3"/>
  <c r="O36" i="3"/>
  <c r="N36" i="3"/>
  <c r="M36" i="3"/>
  <c r="L36" i="3"/>
  <c r="K36" i="3"/>
  <c r="J36" i="3"/>
  <c r="H36" i="3"/>
  <c r="G36" i="3"/>
  <c r="O35" i="3"/>
  <c r="N35" i="3"/>
  <c r="M35" i="3"/>
  <c r="L35" i="3"/>
  <c r="K35" i="3"/>
  <c r="J35" i="3"/>
  <c r="H35" i="3"/>
  <c r="G35" i="3"/>
  <c r="O34" i="3"/>
  <c r="N34" i="3"/>
  <c r="M34" i="3"/>
  <c r="L34" i="3"/>
  <c r="K34" i="3"/>
  <c r="J34" i="3"/>
  <c r="H34" i="3"/>
  <c r="G34" i="3"/>
  <c r="O33" i="3"/>
  <c r="N33" i="3"/>
  <c r="M33" i="3"/>
  <c r="L33" i="3"/>
  <c r="K33" i="3"/>
  <c r="J33" i="3"/>
  <c r="H33" i="3"/>
  <c r="G33" i="3"/>
  <c r="O32" i="3"/>
  <c r="N32" i="3"/>
  <c r="M32" i="3"/>
  <c r="L32" i="3"/>
  <c r="K32" i="3"/>
  <c r="J32" i="3"/>
  <c r="H32" i="3"/>
  <c r="G32" i="3"/>
  <c r="O31" i="3"/>
  <c r="N31" i="3"/>
  <c r="M31" i="3"/>
  <c r="L31" i="3"/>
  <c r="K31" i="3"/>
  <c r="J31" i="3"/>
  <c r="H31" i="3"/>
  <c r="G31" i="3"/>
  <c r="O30" i="3"/>
  <c r="N30" i="3"/>
  <c r="M30" i="3"/>
  <c r="L30" i="3"/>
  <c r="K30" i="3"/>
  <c r="J30" i="3"/>
  <c r="H30" i="3"/>
  <c r="G30" i="3"/>
  <c r="O29" i="3"/>
  <c r="N29" i="3"/>
  <c r="M29" i="3"/>
  <c r="L29" i="3"/>
  <c r="K29" i="3"/>
  <c r="J29" i="3"/>
  <c r="H29" i="3"/>
  <c r="G29" i="3"/>
  <c r="O28" i="3"/>
  <c r="N28" i="3"/>
  <c r="M28" i="3"/>
  <c r="L28" i="3"/>
  <c r="K28" i="3"/>
  <c r="J28" i="3"/>
  <c r="H28" i="3"/>
  <c r="G28" i="3"/>
  <c r="O27" i="3"/>
  <c r="N27" i="3"/>
  <c r="M27" i="3"/>
  <c r="L27" i="3"/>
  <c r="K27" i="3"/>
  <c r="J27" i="3"/>
  <c r="H27" i="3"/>
  <c r="G27" i="3"/>
  <c r="O26" i="3"/>
  <c r="N26" i="3"/>
  <c r="M26" i="3"/>
  <c r="L26" i="3"/>
  <c r="K26" i="3"/>
  <c r="J26" i="3"/>
  <c r="H26" i="3"/>
  <c r="G26" i="3"/>
  <c r="O25" i="3"/>
  <c r="N25" i="3"/>
  <c r="M25" i="3"/>
  <c r="L25" i="3"/>
  <c r="K25" i="3"/>
  <c r="J25" i="3"/>
  <c r="H25" i="3"/>
  <c r="G25" i="3"/>
  <c r="L24" i="3"/>
  <c r="K24" i="3"/>
  <c r="J24" i="3"/>
  <c r="G24" i="3"/>
  <c r="H24" i="3" s="1"/>
  <c r="L23" i="3"/>
  <c r="K23" i="3"/>
  <c r="J23" i="3"/>
  <c r="G23" i="3"/>
  <c r="H23" i="3" s="1"/>
  <c r="L22" i="3"/>
  <c r="K22" i="3"/>
  <c r="J22" i="3"/>
  <c r="G22" i="3"/>
  <c r="H22" i="3" s="1"/>
  <c r="L21" i="3"/>
  <c r="K21" i="3"/>
  <c r="J21" i="3"/>
  <c r="G21" i="3"/>
  <c r="H21" i="3" s="1"/>
  <c r="L20" i="3"/>
  <c r="K20" i="3"/>
  <c r="J20" i="3"/>
  <c r="G20" i="3"/>
  <c r="H20" i="3" s="1"/>
  <c r="L19" i="3"/>
  <c r="K19" i="3"/>
  <c r="J19" i="3"/>
  <c r="G19" i="3"/>
  <c r="H19" i="3" s="1"/>
  <c r="L18" i="3"/>
  <c r="K18" i="3"/>
  <c r="J18" i="3"/>
  <c r="G18" i="3"/>
  <c r="H18" i="3" s="1"/>
  <c r="L17" i="3"/>
  <c r="K17" i="3"/>
  <c r="J17" i="3"/>
  <c r="G17" i="3"/>
  <c r="H17" i="3" s="1"/>
  <c r="L16" i="3"/>
  <c r="K16" i="3"/>
  <c r="J16" i="3"/>
  <c r="G16" i="3"/>
  <c r="H16" i="3" s="1"/>
  <c r="L15" i="3"/>
  <c r="K15" i="3"/>
  <c r="J15" i="3"/>
  <c r="G15" i="3"/>
  <c r="H15" i="3" s="1"/>
  <c r="L14" i="3"/>
  <c r="K14" i="3"/>
  <c r="J14" i="3"/>
  <c r="G14" i="3"/>
  <c r="H14" i="3" s="1"/>
  <c r="L13" i="3"/>
  <c r="K13" i="3"/>
  <c r="J13" i="3"/>
  <c r="G13" i="3"/>
  <c r="H13" i="3" s="1"/>
  <c r="L12" i="3"/>
  <c r="K12" i="3"/>
  <c r="J12" i="3"/>
  <c r="G12" i="3"/>
  <c r="H12" i="3" s="1"/>
  <c r="L11" i="3"/>
  <c r="K11" i="3"/>
  <c r="J11" i="3"/>
  <c r="G11" i="3"/>
  <c r="H11" i="3" s="1"/>
  <c r="L10" i="3"/>
  <c r="K10" i="3"/>
  <c r="J10" i="3"/>
  <c r="G10" i="3"/>
  <c r="H10" i="3" s="1"/>
  <c r="L9" i="3"/>
  <c r="K9" i="3"/>
  <c r="J9" i="3"/>
  <c r="G9" i="3"/>
  <c r="H9" i="3" s="1"/>
  <c r="L8" i="3"/>
  <c r="K8" i="3"/>
  <c r="J8" i="3"/>
  <c r="G8" i="3"/>
  <c r="H8" i="3" s="1"/>
  <c r="L7" i="3"/>
  <c r="K7" i="3"/>
  <c r="J7" i="3"/>
  <c r="G7" i="3"/>
  <c r="H7" i="3" s="1"/>
  <c r="L6" i="3"/>
  <c r="K6" i="3"/>
  <c r="J6" i="3"/>
  <c r="G6" i="3"/>
  <c r="H6" i="3" s="1"/>
  <c r="L5" i="3"/>
  <c r="K5" i="3"/>
  <c r="J5" i="3"/>
  <c r="G5" i="3"/>
  <c r="H5" i="3" s="1"/>
  <c r="H85" i="1"/>
  <c r="D85" i="1"/>
  <c r="H84" i="1"/>
  <c r="D84" i="1"/>
  <c r="H83" i="1"/>
  <c r="D83" i="1"/>
  <c r="H82" i="1"/>
  <c r="H86" i="1" s="1"/>
  <c r="D82" i="1"/>
  <c r="D86" i="1" s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I33" i="1"/>
  <c r="I32" i="1"/>
  <c r="I31" i="1"/>
  <c r="I30" i="1"/>
  <c r="C20" i="1"/>
  <c r="C19" i="1"/>
  <c r="D18" i="1"/>
  <c r="D17" i="1"/>
  <c r="B8" i="1"/>
  <c r="I150" i="5" l="1"/>
  <c r="I185" i="5"/>
  <c r="I214" i="5"/>
  <c r="I209" i="5"/>
  <c r="I189" i="5"/>
  <c r="I65" i="5"/>
  <c r="I362" i="5"/>
  <c r="I147" i="5"/>
  <c r="I351" i="5"/>
  <c r="I305" i="5"/>
  <c r="I27" i="5"/>
  <c r="I16" i="5"/>
  <c r="I142" i="5"/>
  <c r="I269" i="5"/>
  <c r="I89" i="5"/>
  <c r="I159" i="5"/>
  <c r="I115" i="5"/>
  <c r="I353" i="5"/>
  <c r="I132" i="5"/>
  <c r="I165" i="5"/>
  <c r="I106" i="5"/>
  <c r="I332" i="5"/>
  <c r="I245" i="5"/>
  <c r="I376" i="5"/>
  <c r="I373" i="5"/>
  <c r="I299" i="5"/>
  <c r="I116" i="5"/>
  <c r="I370" i="5"/>
  <c r="I357" i="5"/>
  <c r="I252" i="5"/>
  <c r="I240" i="5"/>
  <c r="I97" i="5"/>
  <c r="I256" i="5"/>
  <c r="I330" i="5"/>
  <c r="I261" i="5"/>
  <c r="I226" i="5"/>
  <c r="I18" i="5"/>
  <c r="I58" i="5"/>
  <c r="I360" i="5"/>
  <c r="I63" i="5"/>
  <c r="I57" i="5"/>
  <c r="I248" i="5"/>
  <c r="I95" i="5"/>
  <c r="I130" i="5"/>
  <c r="I160" i="5"/>
  <c r="I377" i="5"/>
  <c r="I154" i="5"/>
  <c r="I90" i="5"/>
  <c r="I78" i="5"/>
  <c r="I74" i="5"/>
  <c r="I73" i="5"/>
  <c r="I104" i="5"/>
  <c r="I235" i="5"/>
  <c r="I148" i="5"/>
  <c r="I37" i="5"/>
  <c r="I72" i="5"/>
  <c r="I367" i="5"/>
  <c r="I361" i="5"/>
  <c r="I216" i="5"/>
  <c r="I111" i="5"/>
  <c r="I110" i="5"/>
  <c r="I109" i="5"/>
  <c r="I108" i="5"/>
  <c r="I107" i="5"/>
  <c r="I99" i="5"/>
  <c r="I342" i="5"/>
  <c r="I149" i="5"/>
  <c r="I123" i="5"/>
  <c r="I371" i="5"/>
  <c r="I138" i="5"/>
  <c r="I168" i="5"/>
  <c r="I127" i="5"/>
  <c r="I126" i="5"/>
  <c r="I24" i="5"/>
  <c r="I194" i="5"/>
  <c r="I191" i="5"/>
  <c r="I190" i="5"/>
  <c r="I70" i="5"/>
  <c r="I43" i="5"/>
  <c r="I217" i="5"/>
  <c r="I221" i="5"/>
  <c r="I335" i="5"/>
  <c r="I173" i="5"/>
  <c r="I170" i="5"/>
  <c r="I366" i="5"/>
  <c r="I266" i="5"/>
  <c r="I264" i="5"/>
  <c r="I236" i="5"/>
  <c r="I212" i="5"/>
  <c r="I47" i="5"/>
  <c r="I21" i="5"/>
  <c r="I233" i="5"/>
  <c r="I347" i="5"/>
  <c r="I255" i="5"/>
  <c r="I213" i="5"/>
  <c r="I163" i="5"/>
  <c r="I162" i="5"/>
  <c r="I69" i="5"/>
  <c r="I62" i="5"/>
  <c r="I61" i="5"/>
  <c r="I60" i="5"/>
  <c r="I59" i="5"/>
  <c r="I54" i="5"/>
  <c r="I51" i="5"/>
  <c r="I49" i="5"/>
  <c r="I48" i="5"/>
  <c r="I15" i="5"/>
  <c r="I241" i="5"/>
  <c r="I249" i="5"/>
  <c r="I229" i="5"/>
  <c r="I200" i="5"/>
  <c r="I166" i="5"/>
  <c r="I164" i="5"/>
  <c r="I374" i="5"/>
  <c r="I250" i="5"/>
  <c r="I83" i="1"/>
  <c r="I228" i="5"/>
  <c r="I156" i="5"/>
  <c r="I151" i="5"/>
  <c r="I204" i="5"/>
  <c r="I219" i="5"/>
  <c r="I378" i="5"/>
  <c r="I307" i="5"/>
  <c r="I313" i="5"/>
  <c r="I297" i="5"/>
  <c r="I285" i="5"/>
  <c r="I327" i="5"/>
  <c r="I282" i="5"/>
  <c r="I278" i="5"/>
  <c r="I277" i="5"/>
  <c r="I343" i="5"/>
  <c r="I318" i="5"/>
  <c r="I198" i="5"/>
  <c r="I96" i="5"/>
  <c r="I87" i="5"/>
  <c r="I79" i="5"/>
  <c r="M21" i="3"/>
  <c r="E71" i="1" s="1"/>
  <c r="M18" i="3"/>
  <c r="E68" i="1" s="1"/>
  <c r="M22" i="3"/>
  <c r="E72" i="1" s="1"/>
  <c r="M24" i="3"/>
  <c r="E74" i="1" s="1"/>
  <c r="M19" i="3"/>
  <c r="E69" i="1" s="1"/>
  <c r="M17" i="3"/>
  <c r="E67" i="1" s="1"/>
  <c r="M16" i="3"/>
  <c r="E66" i="1" s="1"/>
  <c r="M23" i="3"/>
  <c r="E73" i="1" s="1"/>
  <c r="M20" i="3"/>
  <c r="E70" i="1" s="1"/>
  <c r="I274" i="5"/>
  <c r="I117" i="5"/>
  <c r="I364" i="5"/>
  <c r="I222" i="5"/>
  <c r="I218" i="5"/>
  <c r="I188" i="5"/>
  <c r="I184" i="5"/>
  <c r="I76" i="5"/>
  <c r="I176" i="5"/>
  <c r="I206" i="5"/>
  <c r="I193" i="5"/>
  <c r="I172" i="5"/>
  <c r="I359" i="5"/>
  <c r="I321" i="5"/>
  <c r="I316" i="5"/>
  <c r="I284" i="5"/>
  <c r="I215" i="5"/>
  <c r="I340" i="5"/>
  <c r="I306" i="5"/>
  <c r="I302" i="5"/>
  <c r="I298" i="5"/>
  <c r="I280" i="5"/>
  <c r="I197" i="5"/>
  <c r="M10" i="3"/>
  <c r="E60" i="1" s="1"/>
  <c r="M8" i="3"/>
  <c r="E58" i="1" s="1"/>
  <c r="I300" i="5"/>
  <c r="I294" i="5"/>
  <c r="I196" i="5"/>
  <c r="I183" i="5"/>
  <c r="I182" i="5"/>
  <c r="I177" i="5"/>
  <c r="I33" i="5"/>
  <c r="M15" i="3"/>
  <c r="E65" i="1" s="1"/>
  <c r="M12" i="3"/>
  <c r="E62" i="1" s="1"/>
  <c r="M11" i="3"/>
  <c r="E61" i="1" s="1"/>
  <c r="M7" i="3"/>
  <c r="E57" i="1" s="1"/>
  <c r="I275" i="5"/>
  <c r="M14" i="3"/>
  <c r="E64" i="1" s="1"/>
  <c r="M6" i="3"/>
  <c r="E56" i="1" s="1"/>
  <c r="M5" i="3"/>
  <c r="E55" i="1" s="1"/>
  <c r="I71" i="5"/>
  <c r="M9" i="3"/>
  <c r="E59" i="1" s="1"/>
  <c r="I365" i="5"/>
  <c r="I354" i="5"/>
  <c r="I352" i="5"/>
  <c r="I350" i="5"/>
  <c r="I348" i="5"/>
  <c r="I338" i="5"/>
  <c r="M13" i="3"/>
  <c r="E63" i="1" s="1"/>
  <c r="I34" i="1"/>
  <c r="F17" i="6"/>
  <c r="C18" i="1"/>
  <c r="E18" i="1" s="1"/>
  <c r="H7" i="1"/>
  <c r="H8" i="1"/>
  <c r="I82" i="1"/>
  <c r="N9" i="3"/>
  <c r="I53" i="5"/>
  <c r="I45" i="5"/>
  <c r="H20" i="1"/>
  <c r="N18" i="3"/>
  <c r="I44" i="5"/>
  <c r="N17" i="3"/>
  <c r="I35" i="5"/>
  <c r="N5" i="3"/>
  <c r="I31" i="5"/>
  <c r="N16" i="3"/>
  <c r="I28" i="5"/>
  <c r="N10" i="3"/>
  <c r="I26" i="5"/>
  <c r="N7" i="3"/>
  <c r="I25" i="5"/>
  <c r="N24" i="3"/>
  <c r="I22" i="5"/>
  <c r="N21" i="3"/>
  <c r="I20" i="5"/>
  <c r="H19" i="1"/>
  <c r="N19" i="3"/>
  <c r="I19" i="5"/>
  <c r="H33" i="1"/>
  <c r="I17" i="5"/>
  <c r="C85" i="1"/>
  <c r="I14" i="5"/>
  <c r="N23" i="3"/>
  <c r="I13" i="5"/>
  <c r="N22" i="3"/>
  <c r="H22" i="1"/>
  <c r="I12" i="5"/>
  <c r="H21" i="1"/>
  <c r="N20" i="3"/>
  <c r="I11" i="5"/>
  <c r="H18" i="1"/>
  <c r="N15" i="3"/>
  <c r="I10" i="5"/>
  <c r="H17" i="1"/>
  <c r="N14" i="3"/>
  <c r="I9" i="5"/>
  <c r="C83" i="1"/>
  <c r="N13" i="3"/>
  <c r="I8" i="5"/>
  <c r="N12" i="3"/>
  <c r="I7" i="5"/>
  <c r="H16" i="1"/>
  <c r="H32" i="1"/>
  <c r="N11" i="3"/>
  <c r="I6" i="5"/>
  <c r="N8" i="3"/>
  <c r="H15" i="1"/>
  <c r="H31" i="1"/>
  <c r="C82" i="1"/>
  <c r="D8" i="1"/>
  <c r="H384" i="5"/>
  <c r="C15" i="1"/>
  <c r="I5" i="5"/>
  <c r="C22" i="1"/>
  <c r="H30" i="1"/>
  <c r="N6" i="3"/>
  <c r="B7" i="1"/>
  <c r="C14" i="1"/>
  <c r="H14" i="1"/>
  <c r="C21" i="1"/>
  <c r="C84" i="1"/>
  <c r="F384" i="5"/>
  <c r="F69" i="4"/>
  <c r="C74" i="1"/>
  <c r="D74" i="1" s="1"/>
  <c r="C73" i="1"/>
  <c r="D73" i="1" s="1"/>
  <c r="C72" i="1"/>
  <c r="D72" i="1" s="1"/>
  <c r="C71" i="1"/>
  <c r="D71" i="1" s="1"/>
  <c r="C70" i="1"/>
  <c r="D70" i="1" s="1"/>
  <c r="C69" i="1"/>
  <c r="D69" i="1" s="1"/>
  <c r="C68" i="1"/>
  <c r="D68" i="1" s="1"/>
  <c r="C67" i="1"/>
  <c r="D67" i="1" s="1"/>
  <c r="C66" i="1"/>
  <c r="D66" i="1" s="1"/>
  <c r="C65" i="1"/>
  <c r="D65" i="1" s="1"/>
  <c r="C64" i="1"/>
  <c r="D64" i="1" s="1"/>
  <c r="C63" i="1"/>
  <c r="D63" i="1"/>
  <c r="C62" i="1"/>
  <c r="D62" i="1" s="1"/>
  <c r="C61" i="1"/>
  <c r="D61" i="1" s="1"/>
  <c r="C60" i="1"/>
  <c r="D60" i="1" s="1"/>
  <c r="C59" i="1"/>
  <c r="D59" i="1" s="1"/>
  <c r="C58" i="1"/>
  <c r="D58" i="1"/>
  <c r="C57" i="1"/>
  <c r="D57" i="1" s="1"/>
  <c r="C56" i="1"/>
  <c r="D56" i="1" s="1"/>
  <c r="C55" i="1"/>
  <c r="D55" i="1"/>
  <c r="I232" i="5"/>
  <c r="I227" i="5"/>
  <c r="I186" i="5"/>
  <c r="I113" i="5"/>
  <c r="I102" i="5"/>
  <c r="I88" i="5"/>
  <c r="I86" i="5"/>
  <c r="I84" i="5"/>
  <c r="I175" i="5"/>
  <c r="I83" i="5"/>
  <c r="I81" i="5"/>
  <c r="I119" i="5"/>
  <c r="I92" i="5"/>
  <c r="I80" i="5"/>
  <c r="I355" i="5"/>
  <c r="I345" i="5"/>
  <c r="I341" i="5"/>
  <c r="I314" i="5"/>
  <c r="I310" i="5"/>
  <c r="I304" i="5"/>
  <c r="I244" i="5"/>
  <c r="I242" i="5"/>
  <c r="I230" i="5"/>
  <c r="I331" i="5"/>
  <c r="I322" i="5"/>
  <c r="I290" i="5"/>
  <c r="I289" i="5"/>
  <c r="I251" i="5"/>
  <c r="I238" i="5"/>
  <c r="I234" i="5"/>
  <c r="I187" i="5"/>
  <c r="I77" i="5"/>
  <c r="I336" i="5"/>
  <c r="I325" i="5"/>
  <c r="I303" i="5"/>
  <c r="I262" i="5"/>
  <c r="I246" i="5"/>
  <c r="I239" i="5"/>
  <c r="I225" i="5"/>
  <c r="I203" i="5"/>
  <c r="I181" i="5"/>
  <c r="I179" i="5"/>
  <c r="I118" i="5"/>
  <c r="I17" i="1" l="1"/>
  <c r="I18" i="1"/>
  <c r="J18" i="1" s="1"/>
  <c r="I16" i="1"/>
  <c r="I20" i="1"/>
  <c r="J20" i="1" s="1"/>
  <c r="I21" i="1"/>
  <c r="J21" i="1" s="1"/>
  <c r="I19" i="1"/>
  <c r="J19" i="1" s="1"/>
  <c r="G55" i="1"/>
  <c r="J55" i="1" s="1"/>
  <c r="H55" i="1"/>
  <c r="I55" i="1" s="1"/>
  <c r="H71" i="1"/>
  <c r="I71" i="1" s="1"/>
  <c r="G71" i="1"/>
  <c r="J71" i="1" s="1"/>
  <c r="H59" i="1"/>
  <c r="I59" i="1" s="1"/>
  <c r="G59" i="1"/>
  <c r="J59" i="1" s="1"/>
  <c r="H58" i="1"/>
  <c r="I58" i="1" s="1"/>
  <c r="G58" i="1"/>
  <c r="J58" i="1" s="1"/>
  <c r="J17" i="1"/>
  <c r="G56" i="1"/>
  <c r="J56" i="1" s="1"/>
  <c r="H56" i="1"/>
  <c r="I56" i="1" s="1"/>
  <c r="I86" i="1"/>
  <c r="J82" i="1" s="1"/>
  <c r="N126" i="3"/>
  <c r="O5" i="3" s="1"/>
  <c r="F55" i="1" s="1"/>
  <c r="C86" i="1"/>
  <c r="E82" i="1" s="1"/>
  <c r="F8" i="1"/>
  <c r="C16" i="1"/>
  <c r="D7" i="1"/>
  <c r="F7" i="1"/>
  <c r="C17" i="1"/>
  <c r="E17" i="1" s="1"/>
  <c r="I384" i="5"/>
  <c r="I14" i="1"/>
  <c r="H34" i="1"/>
  <c r="J30" i="1" s="1"/>
  <c r="H23" i="1"/>
  <c r="K14" i="1"/>
  <c r="I22" i="1"/>
  <c r="J22" i="1" s="1"/>
  <c r="J16" i="1"/>
  <c r="I15" i="1"/>
  <c r="J15" i="1" s="1"/>
  <c r="E75" i="1"/>
  <c r="C75" i="1"/>
  <c r="H74" i="1"/>
  <c r="I74" i="1" s="1"/>
  <c r="G74" i="1"/>
  <c r="J74" i="1" s="1"/>
  <c r="H73" i="1"/>
  <c r="I73" i="1" s="1"/>
  <c r="G73" i="1"/>
  <c r="J73" i="1" s="1"/>
  <c r="G72" i="1"/>
  <c r="J72" i="1" s="1"/>
  <c r="H72" i="1"/>
  <c r="I72" i="1" s="1"/>
  <c r="H70" i="1"/>
  <c r="I70" i="1" s="1"/>
  <c r="G70" i="1"/>
  <c r="J70" i="1" s="1"/>
  <c r="G69" i="1"/>
  <c r="J69" i="1" s="1"/>
  <c r="H69" i="1"/>
  <c r="I69" i="1" s="1"/>
  <c r="G68" i="1"/>
  <c r="J68" i="1" s="1"/>
  <c r="H68" i="1"/>
  <c r="I68" i="1" s="1"/>
  <c r="H67" i="1"/>
  <c r="I67" i="1" s="1"/>
  <c r="G67" i="1"/>
  <c r="J67" i="1" s="1"/>
  <c r="G66" i="1"/>
  <c r="J66" i="1" s="1"/>
  <c r="H66" i="1"/>
  <c r="I66" i="1" s="1"/>
  <c r="G65" i="1"/>
  <c r="J65" i="1" s="1"/>
  <c r="H65" i="1"/>
  <c r="G64" i="1"/>
  <c r="J64" i="1" s="1"/>
  <c r="H64" i="1"/>
  <c r="I64" i="1" s="1"/>
  <c r="H63" i="1"/>
  <c r="I63" i="1" s="1"/>
  <c r="G63" i="1"/>
  <c r="J63" i="1" s="1"/>
  <c r="H62" i="1"/>
  <c r="I62" i="1" s="1"/>
  <c r="G62" i="1"/>
  <c r="J62" i="1" s="1"/>
  <c r="G61" i="1"/>
  <c r="J61" i="1" s="1"/>
  <c r="H61" i="1"/>
  <c r="I61" i="1" s="1"/>
  <c r="H60" i="1"/>
  <c r="I60" i="1" s="1"/>
  <c r="G60" i="1"/>
  <c r="J60" i="1" s="1"/>
  <c r="G57" i="1"/>
  <c r="J57" i="1" s="1"/>
  <c r="H57" i="1"/>
  <c r="I57" i="1" s="1"/>
  <c r="J84" i="1" l="1"/>
  <c r="J83" i="1"/>
  <c r="J85" i="1"/>
  <c r="O15" i="3"/>
  <c r="F65" i="1" s="1"/>
  <c r="O21" i="3"/>
  <c r="F71" i="1" s="1"/>
  <c r="O16" i="3"/>
  <c r="F66" i="1" s="1"/>
  <c r="O12" i="3"/>
  <c r="F62" i="1" s="1"/>
  <c r="O7" i="3"/>
  <c r="F57" i="1" s="1"/>
  <c r="O10" i="3"/>
  <c r="F60" i="1" s="1"/>
  <c r="O18" i="3"/>
  <c r="F68" i="1" s="1"/>
  <c r="O9" i="3"/>
  <c r="F59" i="1" s="1"/>
  <c r="O13" i="3"/>
  <c r="F63" i="1" s="1"/>
  <c r="O20" i="3"/>
  <c r="F70" i="1" s="1"/>
  <c r="O19" i="3"/>
  <c r="F69" i="1" s="1"/>
  <c r="O24" i="3"/>
  <c r="F74" i="1" s="1"/>
  <c r="O11" i="3"/>
  <c r="F61" i="1" s="1"/>
  <c r="O17" i="3"/>
  <c r="F67" i="1" s="1"/>
  <c r="O6" i="3"/>
  <c r="F56" i="1" s="1"/>
  <c r="O8" i="3"/>
  <c r="F58" i="1" s="1"/>
  <c r="O14" i="3"/>
  <c r="F64" i="1" s="1"/>
  <c r="O22" i="3"/>
  <c r="F72" i="1" s="1"/>
  <c r="O23" i="3"/>
  <c r="F73" i="1" s="1"/>
  <c r="E83" i="1"/>
  <c r="E84" i="1"/>
  <c r="E85" i="1"/>
  <c r="J14" i="1"/>
  <c r="I23" i="1"/>
  <c r="J23" i="1" s="1"/>
  <c r="J32" i="1"/>
  <c r="J33" i="1"/>
  <c r="J31" i="1"/>
  <c r="K19" i="1"/>
  <c r="K16" i="1"/>
  <c r="K18" i="1"/>
  <c r="K17" i="1"/>
  <c r="K15" i="1"/>
  <c r="K21" i="1"/>
  <c r="K22" i="1"/>
  <c r="K20" i="1"/>
  <c r="K23" i="1"/>
  <c r="J8" i="1"/>
  <c r="I65" i="1"/>
  <c r="H75" i="1"/>
  <c r="J7" i="1" l="1"/>
  <c r="I75" i="1"/>
  <c r="C23" i="1"/>
  <c r="K73" i="1" l="1"/>
  <c r="K69" i="1"/>
  <c r="K63" i="1"/>
  <c r="K66" i="1"/>
  <c r="K68" i="1"/>
  <c r="K70" i="1"/>
  <c r="K57" i="1"/>
  <c r="K61" i="1"/>
  <c r="K60" i="1"/>
  <c r="K64" i="1"/>
  <c r="K67" i="1"/>
  <c r="K65" i="1"/>
  <c r="K62" i="1"/>
  <c r="K72" i="1"/>
  <c r="K74" i="1"/>
  <c r="K56" i="1"/>
  <c r="K55" i="1"/>
  <c r="K59" i="1"/>
  <c r="K71" i="1"/>
  <c r="K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Viviana Daconte</author>
  </authors>
  <commentList>
    <comment ref="O4" authorId="0" shapeId="0" xr:uid="{E6AE6478-DD15-470F-925E-5A7D43BBD2D9}">
      <text>
        <r>
          <rPr>
            <b/>
            <sz val="9"/>
            <color indexed="81"/>
            <rFont val="Aptos Display"/>
            <family val="2"/>
          </rPr>
          <t xml:space="preserve">ADIMCLO
La clasificación ABC es un método de gestión de inventarios basado en el principio de Pareto (80/20): agrupa tus productos según su importancia relativa en las ventas.
Productos A 80% → control estricto de inventario revisión frecuente, nunca dejar que se agoten, negociar bien con proveedores.
Productos B 15% → control moderado, revisión periódica normal.
Productos C 5% → control simple, se puede mantener stock más holgado sin monitoreo tan cercano — no vale la pena invertir mucho tiempo administrativo en ellos.
</t>
        </r>
      </text>
    </comment>
  </commentList>
</comments>
</file>

<file path=xl/sharedStrings.xml><?xml version="1.0" encoding="utf-8"?>
<sst xmlns="http://schemas.openxmlformats.org/spreadsheetml/2006/main" count="1507" uniqueCount="219">
  <si>
    <t>ADIMCLO  ·  Autoservicios y Minimarkets</t>
  </si>
  <si>
    <t>Plantilla gratuita · Control de inventario, márgenes, mermas y compra sugerida</t>
  </si>
  <si>
    <t>CÓMO USARLA</t>
  </si>
  <si>
    <t>1. Ajuste los parámetros</t>
  </si>
  <si>
    <t>Aquí abajo: días del período, días de cobertura y meta de margen.</t>
  </si>
  <si>
    <t>2. Cargue su catálogo</t>
  </si>
  <si>
    <t>Hoja «Productos»: código, nombre, categoría, proveedor, costo y precio.</t>
  </si>
  <si>
    <t>3. Registre compras y ventas</t>
  </si>
  <si>
    <t>Hojas «Compras» y «Ventas». Con dos semanas ya se ve la tendencia.</t>
  </si>
  <si>
    <t>4. Anote las mermas</t>
  </si>
  <si>
    <t>Hoja «Mermas»: vencidos, averiados y faltantes. Es la fuga más silenciosa.</t>
  </si>
  <si>
    <t>5. Lea el tablero</t>
  </si>
  <si>
    <t>Hoja «Tablero». Se actualiza sola.</t>
  </si>
  <si>
    <t>PARÁMETROS</t>
  </si>
  <si>
    <t>Días del período analizado</t>
  </si>
  <si>
    <t>Cuántos días cubren los registros de venta.</t>
  </si>
  <si>
    <t>Días de cobertura deseada</t>
  </si>
  <si>
    <t>Para cuántos días de venta quiere tener inventario.</t>
  </si>
  <si>
    <t>Stock de seguridad</t>
  </si>
  <si>
    <t>Colchón para no quedarse sin producto entre pedidos.</t>
  </si>
  <si>
    <t>Meta de margen bruto</t>
  </si>
  <si>
    <t>Referencia del sector para autoservicios: 25% a 32%.</t>
  </si>
  <si>
    <t>Merma aceptable</t>
  </si>
  <si>
    <t>Porcentaje de la venta que se considera normal perder.</t>
  </si>
  <si>
    <t>CONVENCIÓN DE COLORES</t>
  </si>
  <si>
    <t>Amarillo con texto azul</t>
  </si>
  <si>
    <t>Usted escribe aquí</t>
  </si>
  <si>
    <t>Azul claro</t>
  </si>
  <si>
    <t>Lo calcula la plantilla: no escribir</t>
  </si>
  <si>
    <t>Blanco</t>
  </si>
  <si>
    <t>Dato que usted carga en las hojas de datos</t>
  </si>
  <si>
    <t>IMPORTANTE — qué es y qué no es esta plantilla
Es un prototipo para que usted vea sus propios números con el mínimo esfuerzo. Funciona bien con un mes de registro y un catálogo de hasta doscientos productos. No reemplaza un POS ni se conecta a su caja: cada dato se escribe a mano, y por eso no es sostenible como práctica mensual. La hoja «Servicios ADIMCLO» explica qué se necesita para automatizarlo.</t>
  </si>
  <si>
    <t>AUTOSERVICIOS Y MINIMARKETS  ·  Tablero de control</t>
  </si>
  <si>
    <t>Todo se recalcula solo a medida que usted registra productos, compras, ventas y mermas.  Los parámetros del período se editan en la hoja Inicio.</t>
  </si>
  <si>
    <t>VENTA DEL PERÍODO</t>
  </si>
  <si>
    <t>MARGEN BRUTO</t>
  </si>
  <si>
    <t>MARGEN SOBRE VENTA</t>
  </si>
  <si>
    <t>MERMA DEL PERÍODO</t>
  </si>
  <si>
    <t>COMPRA SUGERIDA</t>
  </si>
  <si>
    <t>Resumen del período</t>
  </si>
  <si>
    <t>Venta y margen por categoría</t>
  </si>
  <si>
    <t>Cada cifra sale de las hojas de captura</t>
  </si>
  <si>
    <t>Las nueve categorías del catálogo</t>
  </si>
  <si>
    <t>Indicador</t>
  </si>
  <si>
    <t>Valor</t>
  </si>
  <si>
    <t>Meta</t>
  </si>
  <si>
    <t>Estado</t>
  </si>
  <si>
    <t>Categoría</t>
  </si>
  <si>
    <t>Venta</t>
  </si>
  <si>
    <t>Margen $</t>
  </si>
  <si>
    <t>Margen %</t>
  </si>
  <si>
    <t>% venta</t>
  </si>
  <si>
    <t>Venta total</t>
  </si>
  <si>
    <t>Granos y abarrotes</t>
  </si>
  <si>
    <t>Costo de la mercancía</t>
  </si>
  <si>
    <t>Lácteos</t>
  </si>
  <si>
    <t>Margen bruto</t>
  </si>
  <si>
    <t>Bebidas</t>
  </si>
  <si>
    <t>Margen sobre venta</t>
  </si>
  <si>
    <t>Panadería</t>
  </si>
  <si>
    <t>Merma sobre venta</t>
  </si>
  <si>
    <t>Snacks</t>
  </si>
  <si>
    <t>Unidades vendidas</t>
  </si>
  <si>
    <t>Aseo hogar</t>
  </si>
  <si>
    <t>Transacciones</t>
  </si>
  <si>
    <t>Aseo personal</t>
  </si>
  <si>
    <t>Venta promedio por día</t>
  </si>
  <si>
    <t>Perecederos</t>
  </si>
  <si>
    <t>Ticket promedio</t>
  </si>
  <si>
    <t>Frutas y verduras</t>
  </si>
  <si>
    <t>Compra sugerida</t>
  </si>
  <si>
    <t>TOTAL</t>
  </si>
  <si>
    <t>Venta por categoría</t>
  </si>
  <si>
    <t>Ventas por medio de pago</t>
  </si>
  <si>
    <t>Barras proporcionales al valor vendido</t>
  </si>
  <si>
    <t>Participación sobre la venta total</t>
  </si>
  <si>
    <t>Medio de pago</t>
  </si>
  <si>
    <t>Transac.</t>
  </si>
  <si>
    <t>Efectivo</t>
  </si>
  <si>
    <t>Tarjeta débito</t>
  </si>
  <si>
    <t>Tarjeta crédito</t>
  </si>
  <si>
    <t>Transferencia</t>
  </si>
  <si>
    <t>Rotación, cobertura y compra sugerida</t>
  </si>
  <si>
    <t>La compra cubre los días de cobertura más el stock de seguridad definidos en la hoja Inicio</t>
  </si>
  <si>
    <t>Producto</t>
  </si>
  <si>
    <t>Vendido</t>
  </si>
  <si>
    <t>Venta/día</t>
  </si>
  <si>
    <t>Stock</t>
  </si>
  <si>
    <t>ABC</t>
  </si>
  <si>
    <t>Cobertura (días)</t>
  </si>
  <si>
    <t>Comprar</t>
  </si>
  <si>
    <t>Costo compra</t>
  </si>
  <si>
    <t>% del total</t>
  </si>
  <si>
    <t>Ventas por franja horaria</t>
  </si>
  <si>
    <t>Mermas por motivo</t>
  </si>
  <si>
    <t>Cuándo entra realmente el dinero</t>
  </si>
  <si>
    <t>Dónde se está perdiendo la mercancía</t>
  </si>
  <si>
    <t>Franja</t>
  </si>
  <si>
    <t>Motivo</t>
  </si>
  <si>
    <t>Unidades</t>
  </si>
  <si>
    <t>Pérdida $</t>
  </si>
  <si>
    <t>% merma</t>
  </si>
  <si>
    <t>Mañana</t>
  </si>
  <si>
    <t>Vencimiento</t>
  </si>
  <si>
    <t>Mediodía</t>
  </si>
  <si>
    <t>Avería o daño</t>
  </si>
  <si>
    <t>Tarde</t>
  </si>
  <si>
    <t>Faltante de inventario</t>
  </si>
  <si>
    <t>Noche</t>
  </si>
  <si>
    <t>Devolución a proveedor</t>
  </si>
  <si>
    <t>ADIMCLO · Consultoría en datos, estrategia empresarial, arquitectura, integración y automatización     ·     Prototipo de demostración con datos de ejemplo.</t>
  </si>
  <si>
    <t>ADIMCLO  ·  Catálogo de productos</t>
  </si>
  <si>
    <t>Código</t>
  </si>
  <si>
    <t>Proveedor</t>
  </si>
  <si>
    <t>Costo unitario</t>
  </si>
  <si>
    <t>Precio de venta</t>
  </si>
  <si>
    <t>Stock inicial</t>
  </si>
  <si>
    <t>Comprado</t>
  </si>
  <si>
    <t>Merma</t>
  </si>
  <si>
    <t>Stock actual</t>
  </si>
  <si>
    <t>Venta $</t>
  </si>
  <si>
    <t>P001</t>
  </si>
  <si>
    <t>Arroz x 500 g</t>
  </si>
  <si>
    <t>Distribuidora Andina</t>
  </si>
  <si>
    <t>P002</t>
  </si>
  <si>
    <t>Aceite girasol 1 L</t>
  </si>
  <si>
    <t>P003</t>
  </si>
  <si>
    <t>Panela x 500 g</t>
  </si>
  <si>
    <t>Agro del Valle</t>
  </si>
  <si>
    <t>P004</t>
  </si>
  <si>
    <t>Leche entera 1 L</t>
  </si>
  <si>
    <t>Lácteos del Norte</t>
  </si>
  <si>
    <t>P005</t>
  </si>
  <si>
    <t>Queso campesino 500 g</t>
  </si>
  <si>
    <t>P006</t>
  </si>
  <si>
    <t>Yogur 1 L</t>
  </si>
  <si>
    <t>P007</t>
  </si>
  <si>
    <t>Gaseosa 1,5 L</t>
  </si>
  <si>
    <t>Embotelladora Central</t>
  </si>
  <si>
    <t>P008</t>
  </si>
  <si>
    <t>Agua 600 ml</t>
  </si>
  <si>
    <t>P009</t>
  </si>
  <si>
    <t>Cerveza lata 330 ml</t>
  </si>
  <si>
    <t>P010</t>
  </si>
  <si>
    <t>Pan tajado 500 g</t>
  </si>
  <si>
    <t>Panificadora El Trigal</t>
  </si>
  <si>
    <t>P011</t>
  </si>
  <si>
    <t>Galletas surtidas</t>
  </si>
  <si>
    <t>Snacks Nacional</t>
  </si>
  <si>
    <t>P012</t>
  </si>
  <si>
    <t>Papas fritas 105 g</t>
  </si>
  <si>
    <t>P013</t>
  </si>
  <si>
    <t>Detergente 1 kg</t>
  </si>
  <si>
    <t>Química del Sur</t>
  </si>
  <si>
    <t>P014</t>
  </si>
  <si>
    <t>Jabón de barra</t>
  </si>
  <si>
    <t>P015</t>
  </si>
  <si>
    <t>Papel higiénico x 4</t>
  </si>
  <si>
    <t>P016</t>
  </si>
  <si>
    <t>Huevos AA x 12</t>
  </si>
  <si>
    <t>Avícola La Esperanza</t>
  </si>
  <si>
    <t>P017</t>
  </si>
  <si>
    <t>Pollo entero kg</t>
  </si>
  <si>
    <t>P018</t>
  </si>
  <si>
    <t>Tomate kg</t>
  </si>
  <si>
    <t>Central de Abastos</t>
  </si>
  <si>
    <t>P019</t>
  </si>
  <si>
    <t>Papa kg</t>
  </si>
  <si>
    <t>P020</t>
  </si>
  <si>
    <t>Banano kg</t>
  </si>
  <si>
    <t>Venta máxima del catálogo:</t>
  </si>
  <si>
    <t>ADIMCLO  ·  Compras del período</t>
  </si>
  <si>
    <t>Fecha</t>
  </si>
  <si>
    <t>Cantidad</t>
  </si>
  <si>
    <t>Costo total</t>
  </si>
  <si>
    <t>ADIMCLO  ·  Registro de ventas</t>
  </si>
  <si>
    <t>Precio unitario</t>
  </si>
  <si>
    <t>ADIMCLO  ·  Mermas y pérdidas</t>
  </si>
  <si>
    <t>ADIMCLO  ·  ¿Y si esto lo hiciera solo, todos los meses?</t>
  </si>
  <si>
    <t>Esta plantilla es un prototipo. Sirve para ver el número una vez; no para sostenerlo.</t>
  </si>
  <si>
    <t>Usted acaba de ver cuánto le deja cada categoría, qué productos rotan y cuáles solo ocupan espacio, cuánto se le fue en merma y cuánto debería comprar la próxima vez.
Lo hizo escribiendo los datos a mano. Eso funciona para un mes y veinte productos. Lo que no se puede sostener así es repetirlo cada semana, con el catálogo completo y varios proveedores.</t>
  </si>
  <si>
    <t>LO QUE UN EXCEL NO PUEDE HACER</t>
  </si>
  <si>
    <t>·</t>
  </si>
  <si>
    <t>Leer las ventas del POS sin que nadie las transcriba.</t>
  </si>
  <si>
    <t>Descontar el inventario en el momento exacto de cada venta.</t>
  </si>
  <si>
    <t>Avisar cuando un producto está por vencerse o por agotarse.</t>
  </si>
  <si>
    <t>Sugerir el pedido a cada proveedor con un solo clic.</t>
  </si>
  <si>
    <t>Comparar el precio de compra entre proveedores a lo largo del tiempo.</t>
  </si>
  <si>
    <t>Sostener el histórico sin que el archivo se vuelva inmanejable.</t>
  </si>
  <si>
    <t>NUESTROS SERVICIOS</t>
  </si>
  <si>
    <t>Servicio</t>
  </si>
  <si>
    <t>Qué resuelve</t>
  </si>
  <si>
    <t>Unidad</t>
  </si>
  <si>
    <t>MINERÍA</t>
  </si>
  <si>
    <t>Extrae y consolida las ventas del POS, las compras y el inventario.</t>
  </si>
  <si>
    <t>01 · Analítica</t>
  </si>
  <si>
    <t>REPORTERÍA</t>
  </si>
  <si>
    <t>Tableros actualizados que usted consulta sin pedirle nada a nadie.</t>
  </si>
  <si>
    <t>PRONÓSTICO</t>
  </si>
  <si>
    <t>Proyecta la demanda y calcula cuánto comprar por producto y semana.</t>
  </si>
  <si>
    <t>RETAIL</t>
  </si>
  <si>
    <t>Cuantifica hasta dónde mover precios y qué referencias descontinuar.</t>
  </si>
  <si>
    <t>SINAPSIS</t>
  </si>
  <si>
    <t>Conecta el POS con el inventario y con la contabilidad.</t>
  </si>
  <si>
    <t>03 · Arquitectura</t>
  </si>
  <si>
    <t>ENGRANAJE</t>
  </si>
  <si>
    <t>Automatiza alertas de vencimiento y pedidos a proveedores.</t>
  </si>
  <si>
    <t>04 · Desarrollo</t>
  </si>
  <si>
    <t>AGILISMO</t>
  </si>
  <si>
    <t>Estandariza la recepción de mercancía y el conteo de inventario.</t>
  </si>
  <si>
    <t>02 · Consultoría</t>
  </si>
  <si>
    <t>En un autoservicio la utilidad no se pierde en la caja: se pierde en la góndola. En el producto que se venció antes de venderse, en el que se agotó justo cuando había demanda, y en el que ocupa espacio y rota una vez al mes. 
Esta plantilla cruza cuatro cosas que casi nunca se cruzan: qué compró, qué vendió, qué se le perdió y qué le queda. Con eso calcula cuánto rota cada producto, cuáles sostienen el negocio y cuánto debería comprar la próxima vez.</t>
  </si>
  <si>
    <t>Los datos aquí registrados son de ejemplo; borrelos y reemplacelos con su información. Una fila por venta. Escriba fecha, código, cantidad, franja y medio de pago. El resto se calcula solo.</t>
  </si>
  <si>
    <t>Los datos aquí registrados son de ejemplo; borrelos y reemplacelos con su información. Una fila por entrada de mercancía. El costo total se calcula solo.</t>
  </si>
  <si>
    <t>Los datos aquí registrados son de ejemplo; borrelos y reemplacelos con su información. Escriba código, producto, categoría, proveedor, costo y precio. El resto lo calcula la plantilla.</t>
  </si>
  <si>
    <t>Los datos aquí registrados son de ejemplo; borrelos y reemplacelos con su información. Vencidos, averiados y faltantes de inventario. Es la fuga más silenciosa del negocio.</t>
  </si>
  <si>
    <t>Escríbanos y revisamos juntos su tablero
comercial@adimclo.com   ·   +57 315 368 2262   ·   www.adimclo.com</t>
  </si>
  <si>
    <t>Elaborado por ADIMCLO · Consultoría en datos, estrategia empresarial, arquitectura, integración y automatización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</si>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</sst>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$#,##0;&quot;($&quot;#,##0\);\-"/>
    <numFmt numFmtId="165" formatCode="0.0%"/>
    <numFmt numFmtId="166" formatCode="#,##0;\-#,##0;\-"/>
    <numFmt numFmtId="167" formatCode="0&quot; días&quot;"/>
    <numFmt numFmtId="168" formatCode="dd/mm/yyyy"/>
    <numFmt numFmtId="169" formatCode="&quot;$&quot;#,##0;\(&quot;$&quot;#,##0\);\-"/>
    <numFmt numFmtId="170" formatCode="&quot;$&quot;#,##0"/>
    <numFmt numFmtId="171" formatCode="&quot;$&quot;#,##0;\(&quot;$&quot;#,##0\);&quot;—&quot;"/>
    <numFmt numFmtId="172" formatCode="0.0%;\-0.0%;&quot;—&quot;"/>
    <numFmt numFmtId="173" formatCode="#,##0;\-#,##0;&quot;—&quot;"/>
    <numFmt numFmtId="174" formatCode="#,##0.0;\-#,##0.0;&quot;—&quot;"/>
  </numFmts>
  <fonts count="56" x14ac:knownFonts="1">
    <font>
      <sz val="11"/>
      <color theme="1"/>
      <name val="Calibri"/>
      <family val="2"/>
      <charset val="1"/>
    </font>
    <font>
      <i/>
      <sz val="9"/>
      <color rgb="FF767DAE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3"/>
      <color rgb="FFFFFFFF"/>
      <name val="Arial"/>
      <family val="2"/>
    </font>
    <font>
      <sz val="10"/>
      <color rgb="FF0000FF"/>
      <name val="Arial"/>
      <family val="2"/>
    </font>
    <font>
      <sz val="10"/>
      <color rgb="FFFFFFFF"/>
      <name val="Aptos Display"/>
      <family val="2"/>
    </font>
    <font>
      <sz val="11"/>
      <color theme="1"/>
      <name val="Aptos Display"/>
      <family val="2"/>
    </font>
    <font>
      <b/>
      <sz val="17"/>
      <color rgb="FFFFFFFF"/>
      <name val="Aptos Display"/>
      <family val="2"/>
    </font>
    <font>
      <b/>
      <sz val="8.5"/>
      <color rgb="FF9BA8D4"/>
      <name val="Aptos Display"/>
      <family val="2"/>
    </font>
    <font>
      <b/>
      <sz val="21"/>
      <name val="Aptos Display"/>
      <family val="2"/>
    </font>
    <font>
      <sz val="11"/>
      <name val="Aptos Display"/>
      <family val="2"/>
    </font>
    <font>
      <sz val="8.5"/>
      <color rgb="FF00D9B2"/>
      <name val="Aptos Display"/>
      <family val="2"/>
    </font>
    <font>
      <sz val="8.5"/>
      <color rgb="FF4C8DFF"/>
      <name val="Aptos Display"/>
      <family val="2"/>
    </font>
    <font>
      <sz val="8.5"/>
      <color rgb="FFFFB020"/>
      <name val="Aptos Display"/>
      <family val="2"/>
    </font>
    <font>
      <sz val="8.5"/>
      <color rgb="FFFF5A6A"/>
      <name val="Aptos Display"/>
      <family val="2"/>
    </font>
    <font>
      <sz val="8.5"/>
      <color rgb="FFA98BFA"/>
      <name val="Aptos Display"/>
      <family val="2"/>
    </font>
    <font>
      <b/>
      <sz val="12"/>
      <color rgb="FFFFFFFF"/>
      <name val="Aptos Display"/>
      <family val="2"/>
    </font>
    <font>
      <sz val="8.5"/>
      <color theme="0"/>
      <name val="Aptos Display"/>
      <family val="2"/>
    </font>
    <font>
      <sz val="11"/>
      <color theme="0"/>
      <name val="Aptos Display"/>
      <family val="2"/>
    </font>
    <font>
      <sz val="9.5"/>
      <name val="Aptos Display"/>
      <family val="2"/>
    </font>
    <font>
      <b/>
      <sz val="10"/>
      <name val="Aptos Display"/>
      <family val="2"/>
    </font>
    <font>
      <b/>
      <sz val="9.5"/>
      <name val="Aptos Display"/>
      <family val="2"/>
    </font>
    <font>
      <b/>
      <sz val="9"/>
      <name val="Aptos Display"/>
      <family val="2"/>
    </font>
    <font>
      <b/>
      <sz val="9.5"/>
      <color rgb="FFFFFFFF"/>
      <name val="Aptos Display"/>
      <family val="2"/>
    </font>
    <font>
      <sz val="9.5"/>
      <color theme="0"/>
      <name val="Aptos Display"/>
      <family val="2"/>
    </font>
    <font>
      <b/>
      <sz val="13"/>
      <color rgb="FFFFFFFF"/>
      <name val="Aptos Display"/>
      <family val="2"/>
    </font>
    <font>
      <i/>
      <sz val="9"/>
      <name val="Aptos Display"/>
      <family val="2"/>
    </font>
    <font>
      <sz val="10"/>
      <name val="Aptos Display"/>
      <family val="2"/>
    </font>
    <font>
      <sz val="8"/>
      <color rgb="FF767DAE"/>
      <name val="Aptos Display"/>
      <family val="2"/>
    </font>
    <font>
      <sz val="10"/>
      <color rgb="FF0000FF"/>
      <name val="Aptos Display"/>
      <family val="2"/>
    </font>
    <font>
      <sz val="9"/>
      <name val="Aptos Display"/>
      <family val="2"/>
    </font>
    <font>
      <b/>
      <u/>
      <sz val="11"/>
      <color rgb="FF1F3864"/>
      <name val="Aptos Display"/>
      <family val="2"/>
    </font>
    <font>
      <sz val="8"/>
      <name val="Aptos Display"/>
      <family val="2"/>
    </font>
    <font>
      <sz val="12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sz val="12"/>
      <color rgb="FF0000FF"/>
      <name val="Aptos Display"/>
      <family val="2"/>
    </font>
    <font>
      <i/>
      <sz val="9"/>
      <color rgb="FF767DAE"/>
      <name val="Aptos Display"/>
      <family val="2"/>
    </font>
    <font>
      <b/>
      <sz val="9"/>
      <color rgb="FFFFFFFF"/>
      <name val="Aptos Display"/>
      <family val="2"/>
    </font>
    <font>
      <b/>
      <sz val="8"/>
      <color rgb="FF767DAE"/>
      <name val="Aptos Display"/>
      <family val="2"/>
    </font>
    <font>
      <i/>
      <sz val="8"/>
      <color rgb="FF767DAE"/>
      <name val="Aptos Display"/>
      <family val="2"/>
    </font>
    <font>
      <b/>
      <sz val="9"/>
      <color indexed="81"/>
      <name val="Aptos Display"/>
      <family val="2"/>
    </font>
    <font>
      <i/>
      <sz val="8"/>
      <name val="Arial"/>
      <family val="2"/>
    </font>
    <font>
      <sz val="8"/>
      <name val="Calibri"/>
      <family val="2"/>
      <charset val="1"/>
    </font>
    <font>
      <b/>
      <sz val="10"/>
      <color rgb="FF6B4C12"/>
      <name val="Aptos Display"/>
      <family val="2"/>
    </font>
    <font>
      <b/>
      <sz val="10"/>
      <color theme="1"/>
      <name val="Aptos Display"/>
      <family val="2"/>
    </font>
    <font>
      <i/>
      <sz val="8"/>
      <name val="Aptos Display"/>
      <family val="2"/>
    </font>
    <font>
      <b/>
      <sz val="14"/>
      <color rgb="FFFFFFFF"/>
      <name val="Aptos Display"/>
      <family val="2"/>
    </font>
    <font>
      <sz val="10"/>
      <color rgb="FF0B7A8C"/>
      <name val="Aptos Display"/>
      <family val="2"/>
    </font>
    <font>
      <b/>
      <sz val="14"/>
      <color rgb="FF1F3864"/>
      <name val="Aptos Display"/>
      <family val="2"/>
    </font>
    <font>
      <sz val="14"/>
      <color theme="1"/>
      <name val="Aptos Display"/>
      <family val="2"/>
    </font>
    <font>
      <b/>
      <sz val="11"/>
      <color rgb="FF0B7A8C"/>
      <name val="Aptos Display"/>
      <family val="2"/>
    </font>
    <font>
      <sz val="11"/>
      <color rgb="FF767DAE"/>
      <name val="Aptos Display"/>
      <family val="2"/>
    </font>
    <font>
      <b/>
      <sz val="8.5"/>
      <color theme="0"/>
      <name val="Aptos Display"/>
      <family val="2"/>
    </font>
  </fonts>
  <fills count="26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CE6F2"/>
        <bgColor rgb="FFE4EAF5"/>
      </patternFill>
    </fill>
    <fill>
      <patternFill patternType="solid">
        <fgColor rgb="FFFFFF00"/>
        <bgColor rgb="FFFFFF00"/>
      </patternFill>
    </fill>
    <fill>
      <patternFill patternType="solid">
        <fgColor rgb="FFEAF1FC"/>
        <bgColor rgb="FFF2F5FA"/>
      </patternFill>
    </fill>
    <fill>
      <patternFill patternType="solid">
        <fgColor rgb="FFFFF8E6"/>
        <bgColor rgb="FFF7F9FC"/>
      </patternFill>
    </fill>
    <fill>
      <patternFill patternType="solid">
        <fgColor rgb="FFF7F9FC"/>
        <bgColor rgb="FFF2F5FA"/>
      </patternFill>
    </fill>
    <fill>
      <patternFill patternType="solid">
        <fgColor rgb="FF1F3864"/>
      </patternFill>
    </fill>
    <fill>
      <patternFill patternType="solid">
        <fgColor rgb="FFEAF1FC"/>
      </patternFill>
    </fill>
    <fill>
      <patternFill patternType="solid">
        <fgColor rgb="FFFFFF00"/>
      </patternFill>
    </fill>
    <fill>
      <patternFill patternType="solid">
        <fgColor rgb="FFF7F9FC"/>
      </patternFill>
    </fill>
    <fill>
      <patternFill patternType="solid">
        <fgColor rgb="FF070E33"/>
      </patternFill>
    </fill>
    <fill>
      <patternFill patternType="solid">
        <fgColor rgb="FF111C52"/>
      </patternFill>
    </fill>
    <fill>
      <patternFill patternType="solid">
        <fgColor rgb="FF00D9B2"/>
      </patternFill>
    </fill>
    <fill>
      <patternFill patternType="solid">
        <fgColor rgb="FF4C8DFF"/>
      </patternFill>
    </fill>
    <fill>
      <patternFill patternType="solid">
        <fgColor rgb="FFFFB020"/>
      </patternFill>
    </fill>
    <fill>
      <patternFill patternType="solid">
        <fgColor rgb="FFFF5A6A"/>
      </patternFill>
    </fill>
    <fill>
      <patternFill patternType="solid">
        <fgColor rgb="FFA98BFA"/>
      </patternFill>
    </fill>
    <fill>
      <patternFill patternType="solid">
        <fgColor rgb="FF1A2761"/>
      </patternFill>
    </fill>
    <fill>
      <patternFill patternType="solid">
        <fgColor rgb="FF38BDF8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D5DCEA"/>
      </bottom>
      <diagonal/>
    </border>
    <border>
      <left style="thin">
        <color rgb="FFD5DCEA"/>
      </left>
      <right style="thin">
        <color rgb="FFD5DCEA"/>
      </right>
      <top style="thin">
        <color rgb="FFD5DCEA"/>
      </top>
      <bottom style="thin">
        <color rgb="FFD5DCEA"/>
      </bottom>
      <diagonal/>
    </border>
    <border>
      <left/>
      <right/>
      <top/>
      <bottom style="thin">
        <color rgb="FFD5DCEA"/>
      </bottom>
      <diagonal/>
    </border>
    <border>
      <left/>
      <right/>
      <top/>
      <bottom/>
      <diagonal/>
    </border>
    <border>
      <left style="thin">
        <color rgb="FF23306E"/>
      </left>
      <right/>
      <top style="thin">
        <color rgb="FF23306E"/>
      </top>
      <bottom/>
      <diagonal/>
    </border>
    <border>
      <left/>
      <right style="thin">
        <color rgb="FF23306E"/>
      </right>
      <top style="thin">
        <color rgb="FF23306E"/>
      </top>
      <bottom/>
      <diagonal/>
    </border>
    <border>
      <left style="thin">
        <color rgb="FF23306E"/>
      </left>
      <right/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/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 style="thin">
        <color rgb="FF23306E"/>
      </left>
      <right style="thin">
        <color rgb="FF23306E"/>
      </right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 style="thin">
        <color rgb="FF23306E"/>
      </top>
      <bottom/>
      <diagonal/>
    </border>
    <border>
      <left/>
      <right/>
      <top/>
      <bottom style="thin">
        <color rgb="FF23306E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indent="1"/>
    </xf>
    <xf numFmtId="0" fontId="8" fillId="0" borderId="0" xfId="0" applyFont="1"/>
    <xf numFmtId="0" fontId="7" fillId="12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14" borderId="5" xfId="0" applyFont="1" applyFill="1" applyBorder="1" applyAlignment="1">
      <alignment vertical="center"/>
    </xf>
    <xf numFmtId="0" fontId="7" fillId="14" borderId="6" xfId="0" applyFont="1" applyFill="1" applyBorder="1" applyAlignment="1">
      <alignment vertical="center"/>
    </xf>
    <xf numFmtId="0" fontId="7" fillId="15" borderId="5" xfId="0" applyFont="1" applyFill="1" applyBorder="1" applyAlignment="1">
      <alignment vertical="center"/>
    </xf>
    <xf numFmtId="0" fontId="7" fillId="15" borderId="6" xfId="0" applyFont="1" applyFill="1" applyBorder="1" applyAlignment="1">
      <alignment vertical="center"/>
    </xf>
    <xf numFmtId="0" fontId="7" fillId="16" borderId="5" xfId="0" applyFont="1" applyFill="1" applyBorder="1" applyAlignment="1">
      <alignment vertical="center"/>
    </xf>
    <xf numFmtId="0" fontId="7" fillId="16" borderId="6" xfId="0" applyFont="1" applyFill="1" applyBorder="1" applyAlignment="1">
      <alignment vertical="center"/>
    </xf>
    <xf numFmtId="0" fontId="7" fillId="17" borderId="5" xfId="0" applyFont="1" applyFill="1" applyBorder="1" applyAlignment="1">
      <alignment vertical="center"/>
    </xf>
    <xf numFmtId="0" fontId="7" fillId="17" borderId="6" xfId="0" applyFont="1" applyFill="1" applyBorder="1" applyAlignment="1">
      <alignment vertical="center"/>
    </xf>
    <xf numFmtId="0" fontId="7" fillId="18" borderId="5" xfId="0" applyFont="1" applyFill="1" applyBorder="1" applyAlignment="1">
      <alignment vertical="center"/>
    </xf>
    <xf numFmtId="0" fontId="7" fillId="18" borderId="6" xfId="0" applyFont="1" applyFill="1" applyBorder="1" applyAlignment="1">
      <alignment vertical="center"/>
    </xf>
    <xf numFmtId="0" fontId="7" fillId="14" borderId="15" xfId="0" applyFont="1" applyFill="1" applyBorder="1" applyAlignment="1">
      <alignment vertical="center"/>
    </xf>
    <xf numFmtId="0" fontId="7" fillId="15" borderId="15" xfId="0" applyFont="1" applyFill="1" applyBorder="1" applyAlignment="1">
      <alignment vertical="center"/>
    </xf>
    <xf numFmtId="0" fontId="21" fillId="21" borderId="7" xfId="0" applyFont="1" applyFill="1" applyBorder="1" applyAlignment="1">
      <alignment vertical="center"/>
    </xf>
    <xf numFmtId="0" fontId="21" fillId="21" borderId="4" xfId="0" applyFont="1" applyFill="1" applyBorder="1" applyAlignment="1">
      <alignment vertical="center"/>
    </xf>
    <xf numFmtId="0" fontId="21" fillId="21" borderId="8" xfId="0" applyFont="1" applyFill="1" applyBorder="1" applyAlignment="1">
      <alignment vertical="center"/>
    </xf>
    <xf numFmtId="0" fontId="21" fillId="22" borderId="7" xfId="0" applyFont="1" applyFill="1" applyBorder="1" applyAlignment="1">
      <alignment vertical="center"/>
    </xf>
    <xf numFmtId="0" fontId="21" fillId="22" borderId="4" xfId="0" applyFont="1" applyFill="1" applyBorder="1" applyAlignment="1">
      <alignment vertical="center"/>
    </xf>
    <xf numFmtId="0" fontId="21" fillId="22" borderId="8" xfId="0" applyFont="1" applyFill="1" applyBorder="1" applyAlignment="1">
      <alignment vertical="center"/>
    </xf>
    <xf numFmtId="0" fontId="25" fillId="19" borderId="15" xfId="0" applyFont="1" applyFill="1" applyBorder="1" applyAlignment="1">
      <alignment vertical="center"/>
    </xf>
    <xf numFmtId="0" fontId="7" fillId="13" borderId="9" xfId="0" applyFont="1" applyFill="1" applyBorder="1" applyAlignment="1">
      <alignment vertical="center"/>
    </xf>
    <xf numFmtId="0" fontId="7" fillId="13" borderId="16" xfId="0" applyFont="1" applyFill="1" applyBorder="1" applyAlignment="1">
      <alignment vertical="center"/>
    </xf>
    <xf numFmtId="0" fontId="7" fillId="13" borderId="10" xfId="0" applyFont="1" applyFill="1" applyBorder="1" applyAlignment="1">
      <alignment vertical="center"/>
    </xf>
    <xf numFmtId="0" fontId="7" fillId="18" borderId="15" xfId="0" applyFont="1" applyFill="1" applyBorder="1" applyAlignment="1">
      <alignment vertical="center"/>
    </xf>
    <xf numFmtId="0" fontId="7" fillId="13" borderId="7" xfId="0" applyFont="1" applyFill="1" applyBorder="1" applyAlignment="1">
      <alignment vertical="center"/>
    </xf>
    <xf numFmtId="0" fontId="7" fillId="13" borderId="4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6" borderId="15" xfId="0" applyFont="1" applyFill="1" applyBorder="1" applyAlignment="1">
      <alignment vertical="center"/>
    </xf>
    <xf numFmtId="0" fontId="7" fillId="20" borderId="5" xfId="0" applyFont="1" applyFill="1" applyBorder="1" applyAlignment="1">
      <alignment vertical="center"/>
    </xf>
    <xf numFmtId="0" fontId="7" fillId="20" borderId="15" xfId="0" applyFont="1" applyFill="1" applyBorder="1" applyAlignment="1">
      <alignment vertical="center"/>
    </xf>
    <xf numFmtId="0" fontId="7" fillId="20" borderId="6" xfId="0" applyFont="1" applyFill="1" applyBorder="1" applyAlignment="1">
      <alignment vertical="center"/>
    </xf>
    <xf numFmtId="0" fontId="7" fillId="17" borderId="15" xfId="0" applyFont="1" applyFill="1" applyBorder="1" applyAlignment="1">
      <alignment vertical="center"/>
    </xf>
    <xf numFmtId="0" fontId="30" fillId="0" borderId="0" xfId="0" applyFont="1"/>
    <xf numFmtId="0" fontId="33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8" fillId="4" borderId="2" xfId="0" applyFont="1" applyFill="1" applyBorder="1" applyAlignment="1">
      <alignment vertical="center"/>
    </xf>
    <xf numFmtId="0" fontId="35" fillId="5" borderId="2" xfId="0" applyFont="1" applyFill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9" fillId="0" borderId="0" xfId="0" applyFont="1" applyAlignment="1">
      <alignment indent="1"/>
    </xf>
    <xf numFmtId="0" fontId="40" fillId="2" borderId="0" xfId="0" applyFont="1" applyFill="1" applyAlignment="1">
      <alignment horizontal="center" vertical="center" wrapText="1"/>
    </xf>
    <xf numFmtId="0" fontId="40" fillId="8" borderId="0" xfId="0" applyFont="1" applyFill="1" applyAlignment="1">
      <alignment horizontal="center" vertical="center" wrapText="1"/>
    </xf>
    <xf numFmtId="0" fontId="42" fillId="0" borderId="0" xfId="0" applyFont="1"/>
    <xf numFmtId="0" fontId="8" fillId="0" borderId="0" xfId="0" applyFont="1" applyAlignment="1">
      <alignment wrapText="1"/>
    </xf>
    <xf numFmtId="0" fontId="39" fillId="0" borderId="0" xfId="0" applyFont="1" applyAlignment="1">
      <alignment vertical="center"/>
    </xf>
    <xf numFmtId="168" fontId="31" fillId="10" borderId="3" xfId="0" applyNumberFormat="1" applyFont="1" applyFill="1" applyBorder="1" applyAlignment="1">
      <alignment vertical="center"/>
    </xf>
    <xf numFmtId="0" fontId="31" fillId="10" borderId="3" xfId="0" applyFont="1" applyFill="1" applyBorder="1" applyAlignment="1">
      <alignment vertical="center"/>
    </xf>
    <xf numFmtId="166" fontId="31" fillId="10" borderId="3" xfId="0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50" fillId="0" borderId="0" xfId="0" applyFont="1"/>
    <xf numFmtId="0" fontId="40" fillId="2" borderId="0" xfId="0" applyFont="1" applyFill="1" applyAlignment="1">
      <alignment horizontal="center" vertical="center"/>
    </xf>
    <xf numFmtId="0" fontId="12" fillId="0" borderId="0" xfId="0" applyFont="1"/>
    <xf numFmtId="0" fontId="33" fillId="0" borderId="0" xfId="0" applyFont="1"/>
    <xf numFmtId="0" fontId="53" fillId="0" borderId="1" xfId="0" applyFont="1" applyBorder="1"/>
    <xf numFmtId="0" fontId="12" fillId="0" borderId="1" xfId="0" applyFont="1" applyBorder="1"/>
    <xf numFmtId="0" fontId="54" fillId="0" borderId="1" xfId="0" applyFont="1" applyBorder="1" applyAlignment="1">
      <alignment horizontal="center"/>
    </xf>
    <xf numFmtId="0" fontId="53" fillId="7" borderId="1" xfId="0" applyFont="1" applyFill="1" applyBorder="1"/>
    <xf numFmtId="0" fontId="12" fillId="7" borderId="1" xfId="0" applyFont="1" applyFill="1" applyBorder="1"/>
    <xf numFmtId="0" fontId="54" fillId="7" borderId="1" xfId="0" applyFont="1" applyFill="1" applyBorder="1" applyAlignment="1">
      <alignment horizontal="center"/>
    </xf>
    <xf numFmtId="0" fontId="55" fillId="19" borderId="16" xfId="0" applyFont="1" applyFill="1" applyBorder="1" applyAlignment="1">
      <alignment horizontal="center" vertical="center"/>
    </xf>
    <xf numFmtId="0" fontId="55" fillId="19" borderId="16" xfId="0" applyFont="1" applyFill="1" applyBorder="1" applyAlignment="1">
      <alignment horizontal="right" vertical="center"/>
    </xf>
    <xf numFmtId="0" fontId="55" fillId="19" borderId="16" xfId="0" applyFont="1" applyFill="1" applyBorder="1" applyAlignment="1">
      <alignment horizontal="left" vertical="center"/>
    </xf>
    <xf numFmtId="0" fontId="49" fillId="2" borderId="0" xfId="0" applyFont="1" applyFill="1" applyAlignment="1">
      <alignment vertical="center" indent="1"/>
    </xf>
    <xf numFmtId="0" fontId="8" fillId="0" borderId="0" xfId="0" applyFont="1"/>
    <xf numFmtId="0" fontId="28" fillId="25" borderId="0" xfId="0" applyFont="1" applyFill="1" applyAlignment="1">
      <alignment horizontal="left" vertical="center" indent="1"/>
    </xf>
    <xf numFmtId="0" fontId="12" fillId="25" borderId="0" xfId="0" applyFont="1" applyFill="1" applyAlignment="1">
      <alignment horizontal="left" vertical="center" indent="1"/>
    </xf>
    <xf numFmtId="0" fontId="51" fillId="5" borderId="0" xfId="0" applyFont="1" applyFill="1" applyAlignment="1">
      <alignment horizontal="center" vertical="center" wrapText="1"/>
    </xf>
    <xf numFmtId="0" fontId="52" fillId="0" borderId="0" xfId="0" applyFont="1"/>
    <xf numFmtId="0" fontId="29" fillId="0" borderId="0" xfId="0" applyFont="1" applyAlignment="1">
      <alignment vertical="top" wrapText="1"/>
    </xf>
    <xf numFmtId="0" fontId="39" fillId="0" borderId="0" xfId="0" applyFont="1" applyAlignment="1">
      <alignment horizontal="center" vertical="center"/>
    </xf>
    <xf numFmtId="0" fontId="9" fillId="12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4" xfId="0" applyFont="1" applyBorder="1" applyAlignment="1">
      <alignment vertical="center"/>
    </xf>
    <xf numFmtId="0" fontId="19" fillId="13" borderId="1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2" xfId="0" applyFont="1" applyBorder="1" applyAlignment="1">
      <alignment vertical="center"/>
    </xf>
    <xf numFmtId="0" fontId="10" fillId="13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8" fillId="13" borderId="11" xfId="0" applyFont="1" applyFill="1" applyBorder="1" applyAlignment="1">
      <alignment vertical="center"/>
    </xf>
    <xf numFmtId="0" fontId="12" fillId="21" borderId="12" xfId="0" applyFont="1" applyFill="1" applyBorder="1" applyAlignment="1">
      <alignment vertical="center"/>
    </xf>
    <xf numFmtId="0" fontId="19" fillId="12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12" borderId="4" xfId="0" applyFont="1" applyFill="1" applyBorder="1" applyAlignment="1">
      <alignment vertical="center"/>
    </xf>
    <xf numFmtId="0" fontId="27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8" fillId="23" borderId="0" xfId="0" applyFont="1" applyFill="1" applyAlignment="1">
      <alignment horizontal="left" vertical="center" indent="1"/>
    </xf>
    <xf numFmtId="0" fontId="12" fillId="23" borderId="0" xfId="0" applyFont="1" applyFill="1" applyAlignment="1">
      <alignment horizontal="left" vertical="center" indent="1"/>
    </xf>
    <xf numFmtId="0" fontId="46" fillId="6" borderId="0" xfId="0" applyFont="1" applyFill="1" applyAlignment="1">
      <alignment vertical="center" wrapText="1"/>
    </xf>
    <xf numFmtId="0" fontId="47" fillId="0" borderId="0" xfId="0" applyFont="1" applyAlignment="1">
      <alignment vertical="center"/>
    </xf>
    <xf numFmtId="0" fontId="36" fillId="24" borderId="17" xfId="0" applyFont="1" applyFill="1" applyBorder="1" applyAlignment="1">
      <alignment horizontal="center" vertical="center" wrapText="1"/>
    </xf>
    <xf numFmtId="0" fontId="37" fillId="24" borderId="18" xfId="0" applyFont="1" applyFill="1" applyBorder="1" applyAlignment="1">
      <alignment horizontal="center" vertical="center" wrapText="1"/>
    </xf>
    <xf numFmtId="0" fontId="37" fillId="24" borderId="19" xfId="0" applyFont="1" applyFill="1" applyBorder="1" applyAlignment="1">
      <alignment horizontal="center" vertical="center" wrapText="1"/>
    </xf>
    <xf numFmtId="0" fontId="28" fillId="25" borderId="0" xfId="0" applyFont="1" applyFill="1" applyAlignment="1">
      <alignment horizontal="left" indent="1"/>
    </xf>
    <xf numFmtId="0" fontId="44" fillId="25" borderId="0" xfId="0" applyFont="1" applyFill="1" applyAlignment="1">
      <alignment indent="1"/>
    </xf>
    <xf numFmtId="0" fontId="45" fillId="25" borderId="0" xfId="0" applyFont="1" applyFill="1"/>
    <xf numFmtId="0" fontId="5" fillId="2" borderId="0" xfId="0" applyFont="1" applyFill="1" applyAlignment="1">
      <alignment vertical="center" indent="1"/>
    </xf>
    <xf numFmtId="0" fontId="0" fillId="0" borderId="0" xfId="0"/>
    <xf numFmtId="0" fontId="48" fillId="25" borderId="0" xfId="0" applyFont="1" applyFill="1" applyAlignment="1">
      <alignment horizontal="left" vertical="center" wrapText="1" indent="1"/>
    </xf>
    <xf numFmtId="0" fontId="34" fillId="25" borderId="0" xfId="0" applyFont="1" applyFill="1" applyAlignment="1">
      <alignment horizontal="left" vertical="center" wrapText="1" indent="1"/>
    </xf>
    <xf numFmtId="168" fontId="31" fillId="10" borderId="3" xfId="0" applyNumberFormat="1" applyFont="1" applyFill="1" applyBorder="1" applyAlignment="1" applyProtection="1">
      <alignment vertical="center"/>
      <protection locked="0"/>
    </xf>
    <xf numFmtId="0" fontId="31" fillId="10" borderId="3" xfId="0" applyFont="1" applyFill="1" applyBorder="1" applyAlignment="1" applyProtection="1">
      <alignment vertical="center"/>
      <protection locked="0"/>
    </xf>
    <xf numFmtId="166" fontId="31" fillId="10" borderId="3" xfId="0" applyNumberFormat="1" applyFont="1" applyFill="1" applyBorder="1" applyAlignment="1" applyProtection="1">
      <alignment vertical="center"/>
      <protection locked="0"/>
    </xf>
    <xf numFmtId="0" fontId="31" fillId="4" borderId="1" xfId="0" applyFont="1" applyFill="1" applyBorder="1" applyProtection="1">
      <protection locked="0"/>
    </xf>
    <xf numFmtId="164" fontId="31" fillId="4" borderId="1" xfId="0" applyNumberFormat="1" applyFont="1" applyFill="1" applyBorder="1" applyProtection="1">
      <protection locked="0"/>
    </xf>
    <xf numFmtId="166" fontId="31" fillId="4" borderId="1" xfId="0" applyNumberFormat="1" applyFont="1" applyFill="1" applyBorder="1" applyProtection="1">
      <protection locked="0"/>
    </xf>
    <xf numFmtId="168" fontId="6" fillId="10" borderId="3" xfId="0" applyNumberFormat="1" applyFont="1" applyFill="1" applyBorder="1" applyProtection="1">
      <protection locked="0"/>
    </xf>
    <xf numFmtId="0" fontId="6" fillId="10" borderId="3" xfId="0" applyFont="1" applyFill="1" applyBorder="1" applyProtection="1">
      <protection locked="0"/>
    </xf>
    <xf numFmtId="166" fontId="6" fillId="10" borderId="3" xfId="0" applyNumberFormat="1" applyFont="1" applyFill="1" applyBorder="1" applyProtection="1">
      <protection locked="0"/>
    </xf>
    <xf numFmtId="168" fontId="31" fillId="11" borderId="3" xfId="0" applyNumberFormat="1" applyFont="1" applyFill="1" applyBorder="1" applyAlignment="1" applyProtection="1">
      <alignment vertical="center"/>
      <protection locked="0"/>
    </xf>
    <xf numFmtId="0" fontId="31" fillId="11" borderId="3" xfId="0" applyFont="1" applyFill="1" applyBorder="1" applyAlignment="1" applyProtection="1">
      <alignment vertical="center"/>
      <protection locked="0"/>
    </xf>
    <xf numFmtId="166" fontId="31" fillId="11" borderId="3" xfId="0" applyNumberFormat="1" applyFont="1" applyFill="1" applyBorder="1" applyAlignment="1" applyProtection="1">
      <alignment vertical="center"/>
      <protection locked="0"/>
    </xf>
    <xf numFmtId="167" fontId="37" fillId="4" borderId="2" xfId="0" applyNumberFormat="1" applyFont="1" applyFill="1" applyBorder="1" applyAlignment="1" applyProtection="1">
      <alignment horizontal="center" vertical="center"/>
      <protection locked="0"/>
    </xf>
    <xf numFmtId="165" fontId="37" fillId="4" borderId="2" xfId="0" applyNumberFormat="1" applyFont="1" applyFill="1" applyBorder="1" applyAlignment="1" applyProtection="1">
      <alignment horizontal="center" vertical="center"/>
      <protection locked="0"/>
    </xf>
    <xf numFmtId="0" fontId="32" fillId="9" borderId="3" xfId="0" applyFont="1" applyFill="1" applyBorder="1" applyAlignment="1" applyProtection="1">
      <alignment vertical="center"/>
      <protection hidden="1"/>
    </xf>
    <xf numFmtId="169" fontId="32" fillId="9" borderId="3" xfId="0" applyNumberFormat="1" applyFont="1" applyFill="1" applyBorder="1" applyAlignment="1" applyProtection="1">
      <alignment vertical="center"/>
      <protection hidden="1"/>
    </xf>
    <xf numFmtId="166" fontId="24" fillId="3" borderId="0" xfId="0" applyNumberFormat="1" applyFont="1" applyFill="1" applyAlignment="1" applyProtection="1">
      <alignment vertical="center"/>
      <protection hidden="1"/>
    </xf>
    <xf numFmtId="164" fontId="24" fillId="3" borderId="0" xfId="0" applyNumberFormat="1" applyFont="1" applyFill="1" applyAlignment="1" applyProtection="1">
      <alignment vertical="center"/>
      <protection hidden="1"/>
    </xf>
    <xf numFmtId="164" fontId="32" fillId="5" borderId="1" xfId="0" applyNumberFormat="1" applyFont="1" applyFill="1" applyBorder="1" applyProtection="1">
      <protection hidden="1"/>
    </xf>
    <xf numFmtId="165" fontId="32" fillId="5" borderId="1" xfId="0" applyNumberFormat="1" applyFont="1" applyFill="1" applyBorder="1" applyProtection="1">
      <protection hidden="1"/>
    </xf>
    <xf numFmtId="166" fontId="32" fillId="5" borderId="1" xfId="0" applyNumberFormat="1" applyFont="1" applyFill="1" applyBorder="1" applyProtection="1">
      <protection hidden="1"/>
    </xf>
    <xf numFmtId="169" fontId="32" fillId="9" borderId="3" xfId="0" applyNumberFormat="1" applyFont="1" applyFill="1" applyBorder="1" applyProtection="1">
      <protection hidden="1"/>
    </xf>
    <xf numFmtId="0" fontId="8" fillId="0" borderId="0" xfId="0" applyFont="1" applyProtection="1">
      <protection hidden="1"/>
    </xf>
    <xf numFmtId="170" fontId="41" fillId="0" borderId="0" xfId="0" applyNumberFormat="1" applyFont="1" applyProtection="1">
      <protection hidden="1"/>
    </xf>
    <xf numFmtId="0" fontId="24" fillId="9" borderId="3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Protection="1">
      <protection hidden="1"/>
    </xf>
    <xf numFmtId="164" fontId="3" fillId="5" borderId="1" xfId="0" applyNumberFormat="1" applyFont="1" applyFill="1" applyBorder="1" applyProtection="1">
      <protection hidden="1"/>
    </xf>
    <xf numFmtId="166" fontId="4" fillId="3" borderId="0" xfId="0" applyNumberFormat="1" applyFont="1" applyFill="1" applyProtection="1">
      <protection hidden="1"/>
    </xf>
    <xf numFmtId="164" fontId="4" fillId="3" borderId="0" xfId="0" applyNumberFormat="1" applyFont="1" applyFill="1" applyProtection="1">
      <protection hidden="1"/>
    </xf>
    <xf numFmtId="0" fontId="32" fillId="5" borderId="1" xfId="0" applyFont="1" applyFill="1" applyBorder="1" applyAlignment="1" applyProtection="1">
      <alignment vertical="center"/>
      <protection hidden="1"/>
    </xf>
    <xf numFmtId="164" fontId="32" fillId="5" borderId="1" xfId="0" applyNumberFormat="1" applyFont="1" applyFill="1" applyBorder="1" applyAlignment="1" applyProtection="1">
      <alignment vertical="center"/>
      <protection hidden="1"/>
    </xf>
    <xf numFmtId="171" fontId="11" fillId="21" borderId="11" xfId="0" applyNumberFormat="1" applyFont="1" applyFill="1" applyBorder="1" applyAlignment="1" applyProtection="1">
      <alignment horizontal="center" vertical="center"/>
      <protection hidden="1"/>
    </xf>
    <xf numFmtId="0" fontId="13" fillId="13" borderId="13" xfId="0" applyFont="1" applyFill="1" applyBorder="1" applyAlignment="1" applyProtection="1">
      <alignment horizontal="center" vertical="center"/>
      <protection hidden="1"/>
    </xf>
    <xf numFmtId="0" fontId="21" fillId="21" borderId="7" xfId="0" applyFont="1" applyFill="1" applyBorder="1" applyAlignment="1" applyProtection="1">
      <alignment vertical="center"/>
      <protection hidden="1"/>
    </xf>
    <xf numFmtId="0" fontId="21" fillId="22" borderId="7" xfId="0" applyFont="1" applyFill="1" applyBorder="1" applyAlignment="1" applyProtection="1">
      <alignment vertical="center"/>
      <protection hidden="1"/>
    </xf>
    <xf numFmtId="171" fontId="22" fillId="21" borderId="4" xfId="0" applyNumberFormat="1" applyFont="1" applyFill="1" applyBorder="1" applyAlignment="1" applyProtection="1">
      <alignment horizontal="right" vertical="center"/>
      <protection hidden="1"/>
    </xf>
    <xf numFmtId="171" fontId="22" fillId="22" borderId="4" xfId="0" applyNumberFormat="1" applyFont="1" applyFill="1" applyBorder="1" applyAlignment="1" applyProtection="1">
      <alignment horizontal="right" vertical="center"/>
      <protection hidden="1"/>
    </xf>
    <xf numFmtId="172" fontId="22" fillId="22" borderId="4" xfId="0" applyNumberFormat="1" applyFont="1" applyFill="1" applyBorder="1" applyAlignment="1" applyProtection="1">
      <alignment horizontal="right" vertical="center"/>
      <protection hidden="1"/>
    </xf>
    <xf numFmtId="172" fontId="22" fillId="21" borderId="4" xfId="0" applyNumberFormat="1" applyFont="1" applyFill="1" applyBorder="1" applyAlignment="1" applyProtection="1">
      <alignment horizontal="right" vertical="center"/>
      <protection hidden="1"/>
    </xf>
    <xf numFmtId="173" fontId="22" fillId="22" borderId="4" xfId="0" applyNumberFormat="1" applyFont="1" applyFill="1" applyBorder="1" applyAlignment="1" applyProtection="1">
      <alignment horizontal="right" vertical="center"/>
      <protection hidden="1"/>
    </xf>
    <xf numFmtId="173" fontId="22" fillId="21" borderId="4" xfId="0" applyNumberFormat="1" applyFont="1" applyFill="1" applyBorder="1" applyAlignment="1" applyProtection="1">
      <alignment horizontal="right" vertical="center"/>
      <protection hidden="1"/>
    </xf>
    <xf numFmtId="173" fontId="21" fillId="21" borderId="4" xfId="0" applyNumberFormat="1" applyFont="1" applyFill="1" applyBorder="1" applyAlignment="1" applyProtection="1">
      <alignment horizontal="right" vertical="center"/>
      <protection hidden="1"/>
    </xf>
    <xf numFmtId="173" fontId="21" fillId="22" borderId="4" xfId="0" applyNumberFormat="1" applyFont="1" applyFill="1" applyBorder="1" applyAlignment="1" applyProtection="1">
      <alignment horizontal="right" vertical="center"/>
      <protection hidden="1"/>
    </xf>
    <xf numFmtId="173" fontId="25" fillId="19" borderId="15" xfId="0" applyNumberFormat="1" applyFont="1" applyFill="1" applyBorder="1" applyAlignment="1" applyProtection="1">
      <alignment horizontal="right" vertical="center"/>
      <protection hidden="1"/>
    </xf>
    <xf numFmtId="171" fontId="23" fillId="21" borderId="4" xfId="0" applyNumberFormat="1" applyFont="1" applyFill="1" applyBorder="1" applyAlignment="1" applyProtection="1">
      <alignment horizontal="right" vertical="center"/>
      <protection hidden="1"/>
    </xf>
    <xf numFmtId="171" fontId="23" fillId="22" borderId="4" xfId="0" applyNumberFormat="1" applyFont="1" applyFill="1" applyBorder="1" applyAlignment="1" applyProtection="1">
      <alignment horizontal="right" vertical="center"/>
      <protection hidden="1"/>
    </xf>
    <xf numFmtId="171" fontId="25" fillId="19" borderId="15" xfId="0" applyNumberFormat="1" applyFont="1" applyFill="1" applyBorder="1" applyAlignment="1" applyProtection="1">
      <alignment horizontal="right" vertical="center"/>
      <protection hidden="1"/>
    </xf>
    <xf numFmtId="0" fontId="14" fillId="13" borderId="13" xfId="0" applyFont="1" applyFill="1" applyBorder="1" applyAlignment="1" applyProtection="1">
      <alignment horizontal="center" vertical="center"/>
      <protection hidden="1"/>
    </xf>
    <xf numFmtId="172" fontId="21" fillId="22" borderId="4" xfId="0" applyNumberFormat="1" applyFont="1" applyFill="1" applyBorder="1" applyAlignment="1" applyProtection="1">
      <alignment horizontal="right" vertical="center"/>
      <protection hidden="1"/>
    </xf>
    <xf numFmtId="172" fontId="21" fillId="21" borderId="4" xfId="0" applyNumberFormat="1" applyFont="1" applyFill="1" applyBorder="1" applyAlignment="1" applyProtection="1">
      <alignment horizontal="right" vertical="center"/>
      <protection hidden="1"/>
    </xf>
    <xf numFmtId="174" fontId="21" fillId="21" borderId="4" xfId="0" applyNumberFormat="1" applyFont="1" applyFill="1" applyBorder="1" applyAlignment="1" applyProtection="1">
      <alignment horizontal="right" vertical="center"/>
      <protection hidden="1"/>
    </xf>
    <xf numFmtId="174" fontId="21" fillId="22" borderId="4" xfId="0" applyNumberFormat="1" applyFont="1" applyFill="1" applyBorder="1" applyAlignment="1" applyProtection="1">
      <alignment horizontal="right" vertical="center"/>
      <protection hidden="1"/>
    </xf>
    <xf numFmtId="0" fontId="24" fillId="22" borderId="8" xfId="0" applyFont="1" applyFill="1" applyBorder="1" applyAlignment="1" applyProtection="1">
      <alignment horizontal="center" vertical="center"/>
      <protection hidden="1"/>
    </xf>
    <xf numFmtId="0" fontId="24" fillId="21" borderId="8" xfId="0" applyFont="1" applyFill="1" applyBorder="1" applyAlignment="1" applyProtection="1">
      <alignment horizontal="center" vertical="center"/>
      <protection hidden="1"/>
    </xf>
    <xf numFmtId="172" fontId="11" fillId="21" borderId="11" xfId="0" applyNumberFormat="1" applyFont="1" applyFill="1" applyBorder="1" applyAlignment="1" applyProtection="1">
      <alignment horizontal="center" vertical="center"/>
      <protection hidden="1"/>
    </xf>
    <xf numFmtId="0" fontId="15" fillId="13" borderId="13" xfId="0" applyFont="1" applyFill="1" applyBorder="1" applyAlignment="1" applyProtection="1">
      <alignment horizontal="center" vertical="center"/>
      <protection hidden="1"/>
    </xf>
    <xf numFmtId="0" fontId="21" fillId="21" borderId="4" xfId="0" applyFont="1" applyFill="1" applyBorder="1" applyAlignment="1" applyProtection="1">
      <alignment horizontal="center" vertical="center"/>
      <protection hidden="1"/>
    </xf>
    <xf numFmtId="0" fontId="21" fillId="22" borderId="4" xfId="0" applyFont="1" applyFill="1" applyBorder="1" applyAlignment="1" applyProtection="1">
      <alignment horizontal="center" vertical="center"/>
      <protection hidden="1"/>
    </xf>
    <xf numFmtId="0" fontId="16" fillId="13" borderId="13" xfId="0" applyFont="1" applyFill="1" applyBorder="1" applyAlignment="1" applyProtection="1">
      <alignment horizontal="center" vertical="center"/>
      <protection hidden="1"/>
    </xf>
    <xf numFmtId="173" fontId="23" fillId="21" borderId="4" xfId="0" applyNumberFormat="1" applyFont="1" applyFill="1" applyBorder="1" applyAlignment="1" applyProtection="1">
      <alignment horizontal="right" vertical="center"/>
      <protection hidden="1"/>
    </xf>
    <xf numFmtId="173" fontId="23" fillId="22" borderId="4" xfId="0" applyNumberFormat="1" applyFont="1" applyFill="1" applyBorder="1" applyAlignment="1" applyProtection="1">
      <alignment horizontal="right" vertical="center"/>
      <protection hidden="1"/>
    </xf>
    <xf numFmtId="171" fontId="21" fillId="21" borderId="4" xfId="0" applyNumberFormat="1" applyFont="1" applyFill="1" applyBorder="1" applyAlignment="1" applyProtection="1">
      <alignment horizontal="right" vertical="center"/>
      <protection hidden="1"/>
    </xf>
    <xf numFmtId="171" fontId="21" fillId="22" borderId="4" xfId="0" applyNumberFormat="1" applyFont="1" applyFill="1" applyBorder="1" applyAlignment="1" applyProtection="1">
      <alignment horizontal="right" vertical="center"/>
      <protection hidden="1"/>
    </xf>
    <xf numFmtId="0" fontId="17" fillId="13" borderId="13" xfId="0" applyFont="1" applyFill="1" applyBorder="1" applyAlignment="1" applyProtection="1">
      <alignment horizontal="center" vertical="center"/>
      <protection hidden="1"/>
    </xf>
    <xf numFmtId="172" fontId="25" fillId="19" borderId="15" xfId="0" applyNumberFormat="1" applyFont="1" applyFill="1" applyBorder="1" applyAlignment="1" applyProtection="1">
      <alignment horizontal="right" vertical="center"/>
      <protection hidden="1"/>
    </xf>
    <xf numFmtId="172" fontId="21" fillId="21" borderId="8" xfId="0" applyNumberFormat="1" applyFont="1" applyFill="1" applyBorder="1" applyAlignment="1" applyProtection="1">
      <alignment horizontal="right" vertical="center"/>
      <protection hidden="1"/>
    </xf>
    <xf numFmtId="172" fontId="21" fillId="22" borderId="8" xfId="0" applyNumberFormat="1" applyFont="1" applyFill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sz val="9"/>
        <color rgb="FF6B7AB0"/>
        <name val="Arial"/>
      </font>
    </dxf>
    <dxf>
      <font>
        <b/>
        <sz val="9"/>
        <color rgb="FF3DD68C"/>
        <name val="Arial"/>
      </font>
    </dxf>
    <dxf>
      <font>
        <b/>
        <sz val="9"/>
        <color rgb="FFFFB020"/>
        <name val="Arial"/>
      </font>
    </dxf>
    <dxf>
      <font>
        <b/>
        <sz val="9"/>
        <color rgb="FFFF5A6A"/>
        <name val="Arial"/>
      </font>
    </dxf>
    <dxf>
      <font>
        <b/>
        <sz val="9"/>
        <color rgb="FF6B7AB0"/>
        <name val="Arial"/>
      </font>
    </dxf>
    <dxf>
      <font>
        <b/>
        <sz val="9"/>
        <color rgb="FF4C8DFF"/>
        <name val="Arial"/>
      </font>
    </dxf>
    <dxf>
      <font>
        <b/>
        <sz val="9"/>
        <color rgb="FF00D9B2"/>
        <name val="Arial"/>
      </font>
    </dxf>
    <dxf>
      <font>
        <b/>
        <sz val="9"/>
        <color rgb="FFFF5A6A"/>
        <name val="Arial"/>
      </font>
    </dxf>
    <dxf>
      <font>
        <b/>
        <sz val="9"/>
        <color rgb="FFFFB020"/>
        <name val="Arial"/>
      </font>
    </dxf>
    <dxf>
      <font>
        <b/>
        <sz val="9"/>
        <color rgb="FF3DD68C"/>
        <name val="Arial"/>
      </font>
    </dxf>
    <dxf>
      <font>
        <b/>
        <sz val="9"/>
        <color rgb="FF3DD68C"/>
        <name val="Arial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7A8C"/>
      <rgbColor rgb="FFD9D9D9"/>
      <rgbColor rgb="FF878787"/>
      <rgbColor rgb="FF9999FF"/>
      <rgbColor rgb="FF993366"/>
      <rgbColor rgb="FFFFF8E6"/>
      <rgbColor rgb="FFEAF7EF"/>
      <rgbColor rgb="FF660066"/>
      <rgbColor rgb="FFFF8080"/>
      <rgbColor rgb="FF0066CC"/>
      <rgbColor rgb="FFD5DCEA"/>
      <rgbColor rgb="FF000080"/>
      <rgbColor rgb="FFFF00FF"/>
      <rgbColor rgb="FFFFFF00"/>
      <rgbColor rgb="FF00FFFF"/>
      <rgbColor rgb="FF800080"/>
      <rgbColor rgb="FF800000"/>
      <rgbColor rgb="FF1D7145"/>
      <rgbColor rgb="FF0000FF"/>
      <rgbColor rgb="FF00CCFF"/>
      <rgbColor rgb="FFEAF1FC"/>
      <rgbColor rgb="FFDCE6F2"/>
      <rgbColor rgb="FFFFE9C7"/>
      <rgbColor rgb="FFE4EAF5"/>
      <rgbColor rgb="FFF2F5FA"/>
      <rgbColor rgb="FFF7F9FC"/>
      <rgbColor rgb="FFFFC7CE"/>
      <rgbColor rgb="FF3366FF"/>
      <rgbColor rgb="FF33CCCC"/>
      <rgbColor rgb="FF99CC00"/>
      <rgbColor rgb="FFFFCC00"/>
      <rgbColor rgb="FFFF9900"/>
      <rgbColor rgb="FFFF6600"/>
      <rgbColor rgb="FF767DAE"/>
      <rgbColor rgb="FF969696"/>
      <rgbColor rgb="FF1F3864"/>
      <rgbColor rgb="FF339966"/>
      <rgbColor rgb="FF003300"/>
      <rgbColor rgb="FF6B4C12"/>
      <rgbColor rgb="FFC0392B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4C8DFF"/>
            </a:solidFill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00D9B2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FF-43A3-884D-61B9AA4834DF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6CFF-43A3-884D-61B9AA4834DF}"/>
              </c:ext>
            </c:extLst>
          </c:dPt>
          <c:dPt>
            <c:idx val="2"/>
            <c:invertIfNegative val="1"/>
            <c:bubble3D val="0"/>
            <c:spPr>
              <a:solidFill>
                <a:srgbClr val="FFB02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FF-43A3-884D-61B9AA4834DF}"/>
              </c:ext>
            </c:extLst>
          </c:dPt>
          <c:dPt>
            <c:idx val="3"/>
            <c:invertIfNegative val="1"/>
            <c:bubble3D val="0"/>
            <c:spPr>
              <a:solidFill>
                <a:srgbClr val="A98BFA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FF-43A3-884D-61B9AA4834DF}"/>
              </c:ext>
            </c:extLst>
          </c:dPt>
          <c:dPt>
            <c:idx val="4"/>
            <c:invertIfNegative val="1"/>
            <c:bubble3D val="0"/>
            <c:spPr>
              <a:solidFill>
                <a:srgbClr val="F472B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CFF-43A3-884D-61B9AA4834DF}"/>
              </c:ext>
            </c:extLst>
          </c:dPt>
          <c:dPt>
            <c:idx val="5"/>
            <c:invertIfNegative val="1"/>
            <c:bubble3D val="0"/>
            <c:spPr>
              <a:solidFill>
                <a:srgbClr val="38BDF8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CFF-43A3-884D-61B9AA4834DF}"/>
              </c:ext>
            </c:extLst>
          </c:dPt>
          <c:dPt>
            <c:idx val="6"/>
            <c:invertIfNegative val="1"/>
            <c:bubble3D val="0"/>
            <c:spPr>
              <a:solidFill>
                <a:srgbClr val="3DD68C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CFF-43A3-884D-61B9AA4834DF}"/>
              </c:ext>
            </c:extLst>
          </c:dPt>
          <c:dPt>
            <c:idx val="7"/>
            <c:invertIfNegative val="1"/>
            <c:bubble3D val="0"/>
            <c:spPr>
              <a:solidFill>
                <a:srgbClr val="FF5A6A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CFF-43A3-884D-61B9AA4834DF}"/>
              </c:ext>
            </c:extLst>
          </c:dPt>
          <c:dPt>
            <c:idx val="8"/>
            <c:invertIfNegative val="1"/>
            <c:bubble3D val="0"/>
            <c:spPr>
              <a:solidFill>
                <a:srgbClr val="FF8A5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CFF-43A3-884D-61B9AA4834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Aptos Display" panose="020B0004020202020204" pitchFamily="34" charset="0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Tablero!$G$14:$G$22</c:f>
              <c:strCache>
                <c:ptCount val="9"/>
                <c:pt idx="0">
                  <c:v>Granos y abarrotes</c:v>
                </c:pt>
                <c:pt idx="1">
                  <c:v>Lácteos</c:v>
                </c:pt>
                <c:pt idx="2">
                  <c:v>Bebidas</c:v>
                </c:pt>
                <c:pt idx="3">
                  <c:v>Panadería</c:v>
                </c:pt>
                <c:pt idx="4">
                  <c:v>Snacks</c:v>
                </c:pt>
                <c:pt idx="5">
                  <c:v>Aseo hogar</c:v>
                </c:pt>
                <c:pt idx="6">
                  <c:v>Aseo personal</c:v>
                </c:pt>
                <c:pt idx="7">
                  <c:v>Perecederos</c:v>
                </c:pt>
                <c:pt idx="8">
                  <c:v>Frutas y verduras</c:v>
                </c:pt>
              </c:strCache>
            </c:strRef>
          </c:cat>
          <c:val>
            <c:numRef>
              <c:f>Tablero!$H$14:$H$22</c:f>
              <c:numCache>
                <c:formatCode>"$"#,##0;\("$"#,##0\);"—"</c:formatCode>
                <c:ptCount val="9"/>
                <c:pt idx="0">
                  <c:v>411500</c:v>
                </c:pt>
                <c:pt idx="1">
                  <c:v>613500</c:v>
                </c:pt>
                <c:pt idx="2">
                  <c:v>476200</c:v>
                </c:pt>
                <c:pt idx="3">
                  <c:v>218400</c:v>
                </c:pt>
                <c:pt idx="4">
                  <c:v>309600</c:v>
                </c:pt>
                <c:pt idx="5">
                  <c:v>321600</c:v>
                </c:pt>
                <c:pt idx="6">
                  <c:v>39200</c:v>
                </c:pt>
                <c:pt idx="7">
                  <c:v>718800</c:v>
                </c:pt>
                <c:pt idx="8">
                  <c:v>393200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12-6CFF-43A3-884D-61B9AA483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prstDash val="solid"/>
          </a:ln>
        </c:spPr>
        <c:txPr>
          <a:bodyPr/>
          <a:lstStyle/>
          <a:p>
            <a:pPr>
              <a:defRPr sz="1000">
                <a:latin typeface="Aptos Display" panose="020B0004020202020204" pitchFamily="34" charset="0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numFmt formatCode="&quot;$&quot;#,##0,,&quot;M&quot;;;&quot;—&quot;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>
      <a:prstDash val="solid"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00D9B2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01-4EFA-8D30-10BB5427280A}"/>
              </c:ext>
            </c:extLst>
          </c:dPt>
          <c:dPt>
            <c:idx val="1"/>
            <c:bubble3D val="0"/>
            <c:spPr>
              <a:solidFill>
                <a:srgbClr val="4C8D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01-4EFA-8D30-10BB5427280A}"/>
              </c:ext>
            </c:extLst>
          </c:dPt>
          <c:dPt>
            <c:idx val="2"/>
            <c:bubble3D val="0"/>
            <c:spPr>
              <a:solidFill>
                <a:srgbClr val="FFB02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01-4EFA-8D30-10BB5427280A}"/>
              </c:ext>
            </c:extLst>
          </c:dPt>
          <c:dPt>
            <c:idx val="3"/>
            <c:bubble3D val="0"/>
            <c:spPr>
              <a:solidFill>
                <a:srgbClr val="A98BFA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01-4EFA-8D30-10BB5427280A}"/>
              </c:ext>
            </c:extLst>
          </c:dPt>
          <c:dLbls>
            <c:dLbl>
              <c:idx val="0"/>
              <c:layout>
                <c:manualLayout>
                  <c:x val="0.16496802557953638"/>
                  <c:y val="8.3994708994708997E-2"/>
                </c:manualLayout>
              </c:layout>
              <c:spPr>
                <a:solidFill>
                  <a:srgbClr val="FFFFFF"/>
                </a:solidFill>
                <a:ln>
                  <a:solidFill>
                    <a:srgbClr val="000000">
                      <a:lumMod val="65000"/>
                      <a:lumOff val="35000"/>
                    </a:srgbClr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atin typeface="Aptos Display" panose="020B0004020202020204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9B01-4EFA-8D30-10BB5427280A}"/>
                </c:ext>
              </c:extLst>
            </c:dLbl>
            <c:dLbl>
              <c:idx val="1"/>
              <c:layout>
                <c:manualLayout>
                  <c:x val="-0.18527178257394086"/>
                  <c:y val="2.2398589065255731E-2"/>
                </c:manualLayout>
              </c:layout>
              <c:spPr>
                <a:solidFill>
                  <a:srgbClr val="FFFFFF"/>
                </a:solidFill>
                <a:ln>
                  <a:solidFill>
                    <a:srgbClr val="000000">
                      <a:lumMod val="65000"/>
                      <a:lumOff val="35000"/>
                    </a:srgbClr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atin typeface="Aptos Display" panose="020B0004020202020204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3-9B01-4EFA-8D30-10BB5427280A}"/>
                </c:ext>
              </c:extLst>
            </c:dLbl>
            <c:dLbl>
              <c:idx val="2"/>
              <c:layout>
                <c:manualLayout>
                  <c:x val="-0.18527178257394086"/>
                  <c:y val="-3.3597883597883599E-2"/>
                </c:manualLayout>
              </c:layout>
              <c:spPr>
                <a:solidFill>
                  <a:srgbClr val="FFFFFF"/>
                </a:solidFill>
                <a:ln>
                  <a:solidFill>
                    <a:srgbClr val="000000">
                      <a:lumMod val="65000"/>
                      <a:lumOff val="35000"/>
                    </a:srgbClr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atin typeface="Aptos Display" panose="020B0004020202020204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5-9B01-4EFA-8D30-10BB5427280A}"/>
                </c:ext>
              </c:extLst>
            </c:dLbl>
            <c:dLbl>
              <c:idx val="3"/>
              <c:layout>
                <c:manualLayout>
                  <c:x val="0.29948041566746603"/>
                  <c:y val="-3.9197530864197541E-2"/>
                </c:manualLayout>
              </c:layout>
              <c:spPr>
                <a:solidFill>
                  <a:srgbClr val="FFFFFF"/>
                </a:solidFill>
                <a:ln>
                  <a:solidFill>
                    <a:srgbClr val="000000">
                      <a:lumMod val="65000"/>
                      <a:lumOff val="35000"/>
                    </a:srgbClr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atin typeface="Aptos Display" panose="020B0004020202020204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9B01-4EFA-8D30-10BB5427280A}"/>
                </c:ext>
              </c:extLst>
            </c:dLbl>
            <c:spPr>
              <a:solidFill>
                <a:srgbClr val="FFFFFF"/>
              </a:solidFill>
              <a:ln>
                <a:solidFill>
                  <a:srgbClr val="000000">
                    <a:lumMod val="65000"/>
                    <a:lumOff val="3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Tablero!$G$30:$G$33</c:f>
              <c:strCache>
                <c:ptCount val="4"/>
                <c:pt idx="0">
                  <c:v>Efectivo</c:v>
                </c:pt>
                <c:pt idx="1">
                  <c:v>Tarjeta débito</c:v>
                </c:pt>
                <c:pt idx="2">
                  <c:v>Tarjeta crédito</c:v>
                </c:pt>
                <c:pt idx="3">
                  <c:v>Transferencia</c:v>
                </c:pt>
              </c:strCache>
            </c:strRef>
          </c:cat>
          <c:val>
            <c:numRef>
              <c:f>Tablero!$H$30:$H$33</c:f>
              <c:numCache>
                <c:formatCode>"$"#,##0;\("$"#,##0\);"—"</c:formatCode>
                <c:ptCount val="4"/>
                <c:pt idx="0">
                  <c:v>1756400</c:v>
                </c:pt>
                <c:pt idx="1">
                  <c:v>1039500</c:v>
                </c:pt>
                <c:pt idx="2">
                  <c:v>436200</c:v>
                </c:pt>
                <c:pt idx="3">
                  <c:v>269900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01-4EFA-8D30-10BB54272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2"/>
      </c:doughnutChart>
    </c:plotArea>
    <c:plotVisOnly val="1"/>
    <c:dispBlanksAs val="gap"/>
    <c:showDLblsOverMax val="1"/>
  </c:chart>
  <c:spPr>
    <a:solidFill>
      <a:schemeClr val="bg1"/>
    </a:solidFill>
    <a:ln>
      <a:prstDash val="solid"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38BDF8"/>
            </a:solidFill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00D9B2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09-46FC-AF1D-4EBABAF6BFDE}"/>
              </c:ext>
            </c:extLst>
          </c:dPt>
          <c:dPt>
            <c:idx val="1"/>
            <c:invertIfNegative val="1"/>
            <c:bubble3D val="0"/>
            <c:spPr>
              <a:solidFill>
                <a:srgbClr val="4C8D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09-46FC-AF1D-4EBABAF6BFDE}"/>
              </c:ext>
            </c:extLst>
          </c:dPt>
          <c:dPt>
            <c:idx val="2"/>
            <c:invertIfNegative val="1"/>
            <c:bubble3D val="0"/>
            <c:spPr>
              <a:solidFill>
                <a:srgbClr val="FFB02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09-46FC-AF1D-4EBABAF6BFDE}"/>
              </c:ext>
            </c:extLst>
          </c:dPt>
          <c:dPt>
            <c:idx val="3"/>
            <c:invertIfNegative val="1"/>
            <c:bubble3D val="0"/>
            <c:spPr>
              <a:solidFill>
                <a:srgbClr val="A98BFA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09-46FC-AF1D-4EBABAF6BFD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Tablero!$B$82:$B$85</c:f>
              <c:strCache>
                <c:ptCount val="4"/>
                <c:pt idx="0">
                  <c:v>Mañana</c:v>
                </c:pt>
                <c:pt idx="1">
                  <c:v>Mediodía</c:v>
                </c:pt>
                <c:pt idx="2">
                  <c:v>Tarde</c:v>
                </c:pt>
                <c:pt idx="3">
                  <c:v>Noche</c:v>
                </c:pt>
              </c:strCache>
            </c:strRef>
          </c:cat>
          <c:val>
            <c:numRef>
              <c:f>Tablero!$C$82:$C$85</c:f>
              <c:numCache>
                <c:formatCode>"$"#,##0;\("$"#,##0\);"—"</c:formatCode>
                <c:ptCount val="4"/>
                <c:pt idx="0">
                  <c:v>900600</c:v>
                </c:pt>
                <c:pt idx="1">
                  <c:v>1326100</c:v>
                </c:pt>
                <c:pt idx="2">
                  <c:v>919600</c:v>
                </c:pt>
                <c:pt idx="3">
                  <c:v>355700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CC09-46FC-AF1D-4EBABAF6B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prstDash val="solid"/>
          </a:ln>
        </c:sp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&quot;$&quot;#,##0,,&quot;M&quot;;;&quot;—&quot;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>
      <a:prstDash val="solid"/>
    </a:ln>
  </c:spPr>
  <c:txPr>
    <a:bodyPr/>
    <a:lstStyle/>
    <a:p>
      <a:pPr>
        <a:defRPr>
          <a:solidFill>
            <a:sysClr val="windowText" lastClr="000000"/>
          </a:solidFill>
          <a:latin typeface="Aptos Display" panose="020B00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5A6A"/>
            </a:solidFill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00D9B2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7D-4412-B4F3-DFE18CCA3307}"/>
              </c:ext>
            </c:extLst>
          </c:dPt>
          <c:dPt>
            <c:idx val="1"/>
            <c:invertIfNegative val="1"/>
            <c:bubble3D val="0"/>
            <c:spPr>
              <a:solidFill>
                <a:srgbClr val="4C8D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7D-4412-B4F3-DFE18CCA3307}"/>
              </c:ext>
            </c:extLst>
          </c:dPt>
          <c:dPt>
            <c:idx val="2"/>
            <c:invertIfNegative val="1"/>
            <c:bubble3D val="0"/>
            <c:spPr>
              <a:solidFill>
                <a:srgbClr val="FFB02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7D-4412-B4F3-DFE18CCA3307}"/>
              </c:ext>
            </c:extLst>
          </c:dPt>
          <c:dPt>
            <c:idx val="3"/>
            <c:invertIfNegative val="1"/>
            <c:bubble3D val="0"/>
            <c:spPr>
              <a:solidFill>
                <a:srgbClr val="A98BFA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7D-4412-B4F3-DFE18CCA3307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Tablero!$G$82:$G$85</c:f>
              <c:strCache>
                <c:ptCount val="4"/>
                <c:pt idx="0">
                  <c:v>Vencimiento</c:v>
                </c:pt>
                <c:pt idx="1">
                  <c:v>Avería o daño</c:v>
                </c:pt>
                <c:pt idx="2">
                  <c:v>Faltante de inventario</c:v>
                </c:pt>
                <c:pt idx="3">
                  <c:v>Devolución a proveedor</c:v>
                </c:pt>
              </c:strCache>
            </c:strRef>
          </c:cat>
          <c:val>
            <c:numRef>
              <c:f>Tablero!$I$82:$I$85</c:f>
              <c:numCache>
                <c:formatCode>"$"#,##0;\("$"#,##0\);"—"</c:formatCode>
                <c:ptCount val="4"/>
                <c:pt idx="0">
                  <c:v>33200</c:v>
                </c:pt>
                <c:pt idx="1">
                  <c:v>23700</c:v>
                </c:pt>
                <c:pt idx="2">
                  <c:v>1200</c:v>
                </c:pt>
                <c:pt idx="3">
                  <c:v>3100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4E7D-4412-B4F3-DFE18CCA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prstDash val="solid"/>
          </a:ln>
        </c:sp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&quot;$&quot;#,##0,,&quot;M&quot;;;&quot;—&quot;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>
      <a:prstDash val="solid"/>
    </a:ln>
  </c:spPr>
  <c:txPr>
    <a:bodyPr/>
    <a:lstStyle/>
    <a:p>
      <a:pPr>
        <a:defRPr>
          <a:solidFill>
            <a:sysClr val="windowText" lastClr="000000"/>
          </a:solidFill>
          <a:latin typeface="Aptos Display" panose="020B00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4824000" cy="334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35</xdr:row>
      <xdr:rowOff>0</xdr:rowOff>
    </xdr:from>
    <xdr:ext cx="5004000" cy="2268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87</xdr:row>
      <xdr:rowOff>0</xdr:rowOff>
    </xdr:from>
    <xdr:ext cx="4824000" cy="2268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0</xdr:colOff>
      <xdr:row>87</xdr:row>
      <xdr:rowOff>0</xdr:rowOff>
    </xdr:from>
    <xdr:ext cx="5004000" cy="2268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21DFC6E-6C72-48BF-8E10-41981D588FED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1c4a573-c948-4b9e-a13f-80f2e68dbd8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2761"/>
  </sheetPr>
  <dimension ref="A1:L103"/>
  <sheetViews>
    <sheetView showGridLines="0" zoomScale="90" workbookViewId="0">
      <selection activeCell="J16" sqref="J16"/>
    </sheetView>
  </sheetViews>
  <sheetFormatPr baseColWidth="10" defaultColWidth="8.88671875" defaultRowHeight="14.4" x14ac:dyDescent="0.3"/>
  <cols>
    <col min="1" max="1" width="2" style="6" customWidth="1"/>
    <col min="2" max="2" width="26" style="6" customWidth="1"/>
    <col min="3" max="3" width="13.44140625" style="6" customWidth="1"/>
    <col min="4" max="4" width="12" style="6" customWidth="1"/>
    <col min="5" max="5" width="12.44140625" style="6" customWidth="1"/>
    <col min="6" max="6" width="7" style="6" customWidth="1"/>
    <col min="7" max="7" width="21" style="6" customWidth="1"/>
    <col min="8" max="8" width="13.44140625" style="6" customWidth="1"/>
    <col min="9" max="9" width="14" style="6" customWidth="1"/>
    <col min="10" max="11" width="12.44140625" style="6" customWidth="1"/>
    <col min="12" max="12" width="2" style="6" customWidth="1"/>
    <col min="13" max="16384" width="8.88671875" style="6"/>
  </cols>
  <sheetData>
    <row r="1" spans="1:12" ht="7.05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8.05" customHeight="1" x14ac:dyDescent="0.3">
      <c r="A2" s="5"/>
      <c r="B2" s="76" t="s">
        <v>32</v>
      </c>
      <c r="C2" s="77"/>
      <c r="D2" s="77"/>
      <c r="E2" s="77"/>
      <c r="F2" s="77"/>
      <c r="G2" s="77"/>
      <c r="H2" s="77"/>
      <c r="I2" s="77"/>
      <c r="J2" s="77"/>
      <c r="K2" s="77"/>
      <c r="L2" s="5"/>
    </row>
    <row r="3" spans="1:12" ht="15" customHeight="1" x14ac:dyDescent="0.3">
      <c r="A3" s="5"/>
      <c r="B3" s="88" t="s">
        <v>33</v>
      </c>
      <c r="C3" s="80"/>
      <c r="D3" s="80"/>
      <c r="E3" s="80"/>
      <c r="F3" s="80"/>
      <c r="G3" s="80"/>
      <c r="H3" s="80"/>
      <c r="I3" s="80"/>
      <c r="J3" s="80"/>
      <c r="K3" s="80"/>
      <c r="L3" s="5"/>
    </row>
    <row r="4" spans="1:12" ht="9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4.05" customHeight="1" x14ac:dyDescent="0.3">
      <c r="A5" s="5"/>
      <c r="B5" s="7"/>
      <c r="C5" s="8"/>
      <c r="D5" s="9"/>
      <c r="E5" s="10"/>
      <c r="F5" s="11"/>
      <c r="G5" s="12"/>
      <c r="H5" s="13"/>
      <c r="I5" s="14"/>
      <c r="J5" s="15"/>
      <c r="K5" s="16"/>
      <c r="L5" s="5"/>
    </row>
    <row r="6" spans="1:12" ht="16.05" customHeight="1" x14ac:dyDescent="0.3">
      <c r="A6" s="5"/>
      <c r="B6" s="82" t="s">
        <v>34</v>
      </c>
      <c r="C6" s="83"/>
      <c r="D6" s="82" t="s">
        <v>35</v>
      </c>
      <c r="E6" s="83"/>
      <c r="F6" s="82" t="s">
        <v>36</v>
      </c>
      <c r="G6" s="83"/>
      <c r="H6" s="82" t="s">
        <v>37</v>
      </c>
      <c r="I6" s="83"/>
      <c r="J6" s="82" t="s">
        <v>38</v>
      </c>
      <c r="K6" s="83"/>
      <c r="L6" s="5"/>
    </row>
    <row r="7" spans="1:12" ht="31.05" customHeight="1" x14ac:dyDescent="0.3">
      <c r="A7" s="5"/>
      <c r="B7" s="136">
        <f>SUM(Ventas!$F$5:$F$383)</f>
        <v>3502000</v>
      </c>
      <c r="C7" s="85"/>
      <c r="D7" s="136">
        <f>SUM(Ventas!$I$5:$I$383)</f>
        <v>953000</v>
      </c>
      <c r="E7" s="85"/>
      <c r="F7" s="159">
        <f>IFERROR(SUM(Ventas!$I$5:$I$383)/SUM(Ventas!$F$5:$F$383),0)</f>
        <v>0.27213021130782411</v>
      </c>
      <c r="G7" s="85"/>
      <c r="H7" s="136">
        <f>SUM(Mermas!$F$5:$F$16)</f>
        <v>61200</v>
      </c>
      <c r="I7" s="85"/>
      <c r="J7" s="136">
        <f>SUM(I55:I74)</f>
        <v>478000</v>
      </c>
      <c r="K7" s="85"/>
      <c r="L7" s="5"/>
    </row>
    <row r="8" spans="1:12" ht="16.95" customHeight="1" x14ac:dyDescent="0.3">
      <c r="A8" s="5"/>
      <c r="B8" s="137" t="str">
        <f>TEXT(COUNTA(Ventas!$B$5:$B$383),"#,##0")&amp;" transacciones"</f>
        <v>374 transacciones</v>
      </c>
      <c r="C8" s="78"/>
      <c r="D8" s="152" t="str">
        <f>"Costo de venta "&amp;TEXT(SUM(Ventas!$H$5:$H$383),"$#,##0")</f>
        <v>Costo de venta $2,549,000</v>
      </c>
      <c r="E8" s="78"/>
      <c r="F8" s="160" t="str">
        <f>"Meta "&amp;TEXT(Instrucciones!$D$18,"0%")&amp;" · "&amp;IF(IFERROR(SUM(Ventas!$I$5:$I$383)/SUM(Ventas!$F$5:$F$383),0)&gt;=Instrucciones!$D$18,"cumple","por debajo")</f>
        <v>Meta 28% · por debajo</v>
      </c>
      <c r="G8" s="78"/>
      <c r="H8" s="163" t="str">
        <f>TEXT(IFERROR(SUM(Mermas!$F$5:$F$16)/SUM(Ventas!$F$5:$F$383),0),"0.0%")&amp;" de la venta · tope "&amp;TEXT(Instrucciones!$D$19,"0%")</f>
        <v>1.7% de la venta · tope 2%</v>
      </c>
      <c r="I8" s="78"/>
      <c r="J8" s="168" t="str">
        <f>TEXT(COUNTIF($J$55:$J$74,"Urgente"),"0")&amp;" urgentes · "&amp;TEXT(COUNTIF($J$55:$J$74,"Reponer"),"0")&amp;" por reponer"</f>
        <v>3 urgentes · 5 por reponer</v>
      </c>
      <c r="K8" s="78"/>
      <c r="L8" s="5"/>
    </row>
    <row r="9" spans="1:12" ht="10.050000000000001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" customHeight="1" x14ac:dyDescent="0.3">
      <c r="A10" s="5"/>
      <c r="B10" s="7"/>
      <c r="C10" s="17"/>
      <c r="D10" s="17"/>
      <c r="E10" s="8"/>
      <c r="F10" s="5"/>
      <c r="G10" s="9"/>
      <c r="H10" s="18"/>
      <c r="I10" s="18"/>
      <c r="J10" s="18"/>
      <c r="K10" s="10"/>
      <c r="L10" s="5"/>
    </row>
    <row r="11" spans="1:12" ht="21" customHeight="1" x14ac:dyDescent="0.3">
      <c r="A11" s="5"/>
      <c r="B11" s="84" t="s">
        <v>39</v>
      </c>
      <c r="C11" s="77"/>
      <c r="D11" s="77"/>
      <c r="E11" s="83"/>
      <c r="F11" s="5"/>
      <c r="G11" s="84" t="s">
        <v>40</v>
      </c>
      <c r="H11" s="77"/>
      <c r="I11" s="77"/>
      <c r="J11" s="77"/>
      <c r="K11" s="83"/>
      <c r="L11" s="5"/>
    </row>
    <row r="12" spans="1:12" ht="13.95" customHeight="1" x14ac:dyDescent="0.3">
      <c r="A12" s="5"/>
      <c r="B12" s="79" t="s">
        <v>41</v>
      </c>
      <c r="C12" s="80"/>
      <c r="D12" s="80"/>
      <c r="E12" s="81"/>
      <c r="F12" s="5"/>
      <c r="G12" s="79" t="s">
        <v>42</v>
      </c>
      <c r="H12" s="80"/>
      <c r="I12" s="80"/>
      <c r="J12" s="80"/>
      <c r="K12" s="81"/>
      <c r="L12" s="5"/>
    </row>
    <row r="13" spans="1:12" ht="19.05" customHeight="1" x14ac:dyDescent="0.3">
      <c r="A13" s="5"/>
      <c r="B13" s="65" t="s">
        <v>43</v>
      </c>
      <c r="C13" s="65" t="s">
        <v>44</v>
      </c>
      <c r="D13" s="65" t="s">
        <v>45</v>
      </c>
      <c r="E13" s="65" t="s">
        <v>46</v>
      </c>
      <c r="F13" s="5"/>
      <c r="G13" s="65" t="s">
        <v>47</v>
      </c>
      <c r="H13" s="65" t="s">
        <v>48</v>
      </c>
      <c r="I13" s="65" t="s">
        <v>49</v>
      </c>
      <c r="J13" s="65" t="s">
        <v>50</v>
      </c>
      <c r="K13" s="65" t="s">
        <v>51</v>
      </c>
      <c r="L13" s="5"/>
    </row>
    <row r="14" spans="1:12" ht="16.05" customHeight="1" x14ac:dyDescent="0.3">
      <c r="A14" s="5"/>
      <c r="B14" s="19" t="s">
        <v>52</v>
      </c>
      <c r="C14" s="140">
        <f>SUM(Ventas!$F$5:$F$383)</f>
        <v>3502000</v>
      </c>
      <c r="D14" s="20"/>
      <c r="E14" s="21"/>
      <c r="F14" s="5"/>
      <c r="G14" s="19" t="s">
        <v>53</v>
      </c>
      <c r="H14" s="149">
        <f>SUMIFS(Ventas!$F$5:$F$383,Ventas!$L$5:$L$383,$G14)</f>
        <v>411500</v>
      </c>
      <c r="I14" s="166">
        <f>SUMIFS(Ventas!$I$5:$I$383,Ventas!$L$5:$L$383,$G14)</f>
        <v>107000</v>
      </c>
      <c r="J14" s="154">
        <f t="shared" ref="J14:J23" si="0">IFERROR(I14/H14,0)</f>
        <v>0.2600243013365735</v>
      </c>
      <c r="K14" s="170">
        <f t="shared" ref="K14:K23" si="1">IFERROR(H14/$H$23,0)</f>
        <v>0.11750428326670474</v>
      </c>
      <c r="L14" s="5"/>
    </row>
    <row r="15" spans="1:12" ht="16.05" customHeight="1" x14ac:dyDescent="0.3">
      <c r="A15" s="5"/>
      <c r="B15" s="22" t="s">
        <v>54</v>
      </c>
      <c r="C15" s="141">
        <f>SUM(Ventas!$H$5:$H$383)</f>
        <v>2549000</v>
      </c>
      <c r="D15" s="23"/>
      <c r="E15" s="24"/>
      <c r="F15" s="5"/>
      <c r="G15" s="22" t="s">
        <v>55</v>
      </c>
      <c r="H15" s="150">
        <f>SUMIFS(Ventas!$F$5:$F$383,Ventas!$L$5:$L$383,$G15)</f>
        <v>613500</v>
      </c>
      <c r="I15" s="167">
        <f>SUMIFS(Ventas!$I$5:$I$383,Ventas!$L$5:$L$383,$G15)</f>
        <v>154000</v>
      </c>
      <c r="J15" s="153">
        <f t="shared" si="0"/>
        <v>0.25101874490627546</v>
      </c>
      <c r="K15" s="171">
        <f t="shared" si="1"/>
        <v>0.17518560822387208</v>
      </c>
      <c r="L15" s="5"/>
    </row>
    <row r="16" spans="1:12" ht="16.05" customHeight="1" x14ac:dyDescent="0.3">
      <c r="A16" s="5"/>
      <c r="B16" s="19" t="s">
        <v>56</v>
      </c>
      <c r="C16" s="140">
        <f>SUM(Ventas!$I$5:$I$383)</f>
        <v>953000</v>
      </c>
      <c r="D16" s="20"/>
      <c r="E16" s="21"/>
      <c r="F16" s="5"/>
      <c r="G16" s="19" t="s">
        <v>57</v>
      </c>
      <c r="H16" s="149">
        <f>SUMIFS(Ventas!$F$5:$F$383,Ventas!$L$5:$L$383,$G16)</f>
        <v>476200</v>
      </c>
      <c r="I16" s="166">
        <f>SUMIFS(Ventas!$I$5:$I$383,Ventas!$L$5:$L$383,$G16)</f>
        <v>137800</v>
      </c>
      <c r="J16" s="154">
        <f t="shared" si="0"/>
        <v>0.28937421251574968</v>
      </c>
      <c r="K16" s="170">
        <f t="shared" si="1"/>
        <v>0.13597944031981724</v>
      </c>
      <c r="L16" s="5"/>
    </row>
    <row r="17" spans="1:12" ht="16.05" customHeight="1" x14ac:dyDescent="0.3">
      <c r="A17" s="5"/>
      <c r="B17" s="22" t="s">
        <v>58</v>
      </c>
      <c r="C17" s="142">
        <f>IFERROR(SUM(Ventas!$I$5:$I$383)/SUM(Ventas!$F$5:$F$383),0)</f>
        <v>0.27213021130782411</v>
      </c>
      <c r="D17" s="153">
        <f>Instrucciones!$D$18</f>
        <v>0.28000000000000003</v>
      </c>
      <c r="E17" s="157" t="str">
        <f>IF(C17&gt;=D17,"Cumple","Por debajo")</f>
        <v>Por debajo</v>
      </c>
      <c r="F17" s="5"/>
      <c r="G17" s="22" t="s">
        <v>59</v>
      </c>
      <c r="H17" s="150">
        <f>SUMIFS(Ventas!$F$5:$F$383,Ventas!$L$5:$L$383,$G17)</f>
        <v>218400</v>
      </c>
      <c r="I17" s="167">
        <f>SUMIFS(Ventas!$I$5:$I$383,Ventas!$L$5:$L$383,$G17)</f>
        <v>54600</v>
      </c>
      <c r="J17" s="153">
        <f t="shared" si="0"/>
        <v>0.25</v>
      </c>
      <c r="K17" s="171">
        <f t="shared" si="1"/>
        <v>6.2364363221016565E-2</v>
      </c>
      <c r="L17" s="5"/>
    </row>
    <row r="18" spans="1:12" ht="16.05" customHeight="1" x14ac:dyDescent="0.3">
      <c r="A18" s="5"/>
      <c r="B18" s="19" t="s">
        <v>60</v>
      </c>
      <c r="C18" s="143">
        <f>IFERROR(SUM(Mermas!$F$5:$F$16)/SUM(Ventas!$F$5:$F$383),0)</f>
        <v>1.7475728155339806E-2</v>
      </c>
      <c r="D18" s="154">
        <f>Instrucciones!$D$19</f>
        <v>0.02</v>
      </c>
      <c r="E18" s="158" t="str">
        <f>IF(C18&lt;=D18,"Aceptable","Alta")</f>
        <v>Aceptable</v>
      </c>
      <c r="F18" s="5"/>
      <c r="G18" s="19" t="s">
        <v>61</v>
      </c>
      <c r="H18" s="149">
        <f>SUMIFS(Ventas!$F$5:$F$383,Ventas!$L$5:$L$383,$G18)</f>
        <v>309600</v>
      </c>
      <c r="I18" s="166">
        <f>SUMIFS(Ventas!$I$5:$I$383,Ventas!$L$5:$L$383,$G18)</f>
        <v>103200</v>
      </c>
      <c r="J18" s="154">
        <f t="shared" si="0"/>
        <v>0.33333333333333331</v>
      </c>
      <c r="K18" s="170">
        <f t="shared" si="1"/>
        <v>8.8406624785836663E-2</v>
      </c>
      <c r="L18" s="5"/>
    </row>
    <row r="19" spans="1:12" ht="16.05" customHeight="1" x14ac:dyDescent="0.3">
      <c r="A19" s="5"/>
      <c r="B19" s="22" t="s">
        <v>62</v>
      </c>
      <c r="C19" s="144">
        <f>SUM(Ventas!$D$5:$D$383)</f>
        <v>670</v>
      </c>
      <c r="D19" s="23"/>
      <c r="E19" s="24"/>
      <c r="F19" s="5"/>
      <c r="G19" s="22" t="s">
        <v>63</v>
      </c>
      <c r="H19" s="150">
        <f>SUMIFS(Ventas!$F$5:$F$383,Ventas!$L$5:$L$383,$G19)</f>
        <v>321600</v>
      </c>
      <c r="I19" s="167">
        <f>SUMIFS(Ventas!$I$5:$I$383,Ventas!$L$5:$L$383,$G19)</f>
        <v>87200</v>
      </c>
      <c r="J19" s="153">
        <f t="shared" si="0"/>
        <v>0.27114427860696516</v>
      </c>
      <c r="K19" s="171">
        <f t="shared" si="1"/>
        <v>9.1833238149628779E-2</v>
      </c>
      <c r="L19" s="5"/>
    </row>
    <row r="20" spans="1:12" ht="16.05" customHeight="1" x14ac:dyDescent="0.3">
      <c r="A20" s="5"/>
      <c r="B20" s="19" t="s">
        <v>64</v>
      </c>
      <c r="C20" s="145">
        <f>COUNTA(Ventas!$B$5:$B$383)</f>
        <v>374</v>
      </c>
      <c r="D20" s="20"/>
      <c r="E20" s="21"/>
      <c r="F20" s="5"/>
      <c r="G20" s="19" t="s">
        <v>65</v>
      </c>
      <c r="H20" s="149">
        <f>SUMIFS(Ventas!$F$5:$F$383,Ventas!$L$5:$L$383,$G20)</f>
        <v>39200</v>
      </c>
      <c r="I20" s="166">
        <f>SUMIFS(Ventas!$I$5:$I$383,Ventas!$L$5:$L$383,$G20)</f>
        <v>12600</v>
      </c>
      <c r="J20" s="154">
        <f t="shared" si="0"/>
        <v>0.32142857142857145</v>
      </c>
      <c r="K20" s="170">
        <f t="shared" si="1"/>
        <v>1.1193603655054256E-2</v>
      </c>
      <c r="L20" s="5"/>
    </row>
    <row r="21" spans="1:12" ht="16.05" customHeight="1" x14ac:dyDescent="0.3">
      <c r="A21" s="5"/>
      <c r="B21" s="22" t="s">
        <v>66</v>
      </c>
      <c r="C21" s="141">
        <f>IFERROR(SUM(Ventas!$F$5:$F$383)/Instrucciones!$D$15,0)</f>
        <v>116733.33333333333</v>
      </c>
      <c r="D21" s="23"/>
      <c r="E21" s="24"/>
      <c r="F21" s="5"/>
      <c r="G21" s="22" t="s">
        <v>67</v>
      </c>
      <c r="H21" s="150">
        <f>SUMIFS(Ventas!$F$5:$F$383,Ventas!$L$5:$L$383,$G21)</f>
        <v>718800</v>
      </c>
      <c r="I21" s="167">
        <f>SUMIFS(Ventas!$I$5:$I$383,Ventas!$L$5:$L$383,$G21)</f>
        <v>164500</v>
      </c>
      <c r="J21" s="153">
        <f t="shared" si="0"/>
        <v>0.2288536449638286</v>
      </c>
      <c r="K21" s="171">
        <f t="shared" si="1"/>
        <v>0.2052541404911479</v>
      </c>
      <c r="L21" s="5"/>
    </row>
    <row r="22" spans="1:12" ht="16.05" customHeight="1" x14ac:dyDescent="0.3">
      <c r="A22" s="5"/>
      <c r="B22" s="19" t="s">
        <v>68</v>
      </c>
      <c r="C22" s="140">
        <f>IFERROR(SUM(Ventas!$F$5:$F$383)/COUNTA(Ventas!$B$5:$B$383),0)</f>
        <v>9363.636363636364</v>
      </c>
      <c r="D22" s="20"/>
      <c r="E22" s="21"/>
      <c r="F22" s="5"/>
      <c r="G22" s="19" t="s">
        <v>69</v>
      </c>
      <c r="H22" s="149">
        <f>SUMIFS(Ventas!$F$5:$F$383,Ventas!$L$5:$L$383,$G22)</f>
        <v>393200</v>
      </c>
      <c r="I22" s="166">
        <f>SUMIFS(Ventas!$I$5:$I$383,Ventas!$L$5:$L$383,$G22)</f>
        <v>132100</v>
      </c>
      <c r="J22" s="154">
        <f t="shared" si="0"/>
        <v>0.33596134282807733</v>
      </c>
      <c r="K22" s="170">
        <f t="shared" si="1"/>
        <v>0.11227869788692176</v>
      </c>
      <c r="L22" s="5"/>
    </row>
    <row r="23" spans="1:12" ht="18" customHeight="1" x14ac:dyDescent="0.3">
      <c r="A23" s="5"/>
      <c r="B23" s="22" t="s">
        <v>70</v>
      </c>
      <c r="C23" s="141">
        <f>SUM(I55:I74)</f>
        <v>478000</v>
      </c>
      <c r="D23" s="23"/>
      <c r="E23" s="24"/>
      <c r="F23" s="5"/>
      <c r="G23" s="25" t="s">
        <v>71</v>
      </c>
      <c r="H23" s="151">
        <f>SUM(H14:H22)</f>
        <v>3502000</v>
      </c>
      <c r="I23" s="151">
        <f>SUM(I14:I22)</f>
        <v>953000</v>
      </c>
      <c r="J23" s="169">
        <f t="shared" si="0"/>
        <v>0.27213021130782411</v>
      </c>
      <c r="K23" s="169">
        <f t="shared" si="1"/>
        <v>1</v>
      </c>
      <c r="L23" s="5"/>
    </row>
    <row r="24" spans="1:12" ht="7.05" customHeight="1" x14ac:dyDescent="0.3">
      <c r="A24" s="5"/>
      <c r="B24" s="26"/>
      <c r="C24" s="27"/>
      <c r="D24" s="27"/>
      <c r="E24" s="28"/>
      <c r="F24" s="5"/>
      <c r="G24" s="26"/>
      <c r="H24" s="27"/>
      <c r="I24" s="27"/>
      <c r="J24" s="27"/>
      <c r="K24" s="28"/>
      <c r="L24" s="5"/>
    </row>
    <row r="25" spans="1:12" ht="10.050000000000001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3" customHeight="1" x14ac:dyDescent="0.3">
      <c r="A26" s="5"/>
      <c r="B26" s="9"/>
      <c r="C26" s="18"/>
      <c r="D26" s="18"/>
      <c r="E26" s="18"/>
      <c r="F26" s="10"/>
      <c r="G26" s="15"/>
      <c r="H26" s="29"/>
      <c r="I26" s="29"/>
      <c r="J26" s="29"/>
      <c r="K26" s="16"/>
      <c r="L26" s="5"/>
    </row>
    <row r="27" spans="1:12" ht="21" customHeight="1" x14ac:dyDescent="0.3">
      <c r="A27" s="5"/>
      <c r="B27" s="84" t="s">
        <v>72</v>
      </c>
      <c r="C27" s="77"/>
      <c r="D27" s="77"/>
      <c r="E27" s="77"/>
      <c r="F27" s="83"/>
      <c r="G27" s="84" t="s">
        <v>73</v>
      </c>
      <c r="H27" s="77"/>
      <c r="I27" s="77"/>
      <c r="J27" s="77"/>
      <c r="K27" s="83"/>
      <c r="L27" s="5"/>
    </row>
    <row r="28" spans="1:12" ht="13.95" customHeight="1" x14ac:dyDescent="0.3">
      <c r="A28" s="5"/>
      <c r="B28" s="79" t="s">
        <v>74</v>
      </c>
      <c r="C28" s="80"/>
      <c r="D28" s="80"/>
      <c r="E28" s="80"/>
      <c r="F28" s="81"/>
      <c r="G28" s="79" t="s">
        <v>75</v>
      </c>
      <c r="H28" s="80"/>
      <c r="I28" s="80"/>
      <c r="J28" s="80"/>
      <c r="K28" s="81"/>
      <c r="L28" s="5"/>
    </row>
    <row r="29" spans="1:12" ht="19.05" customHeight="1" x14ac:dyDescent="0.3">
      <c r="A29" s="5"/>
      <c r="B29" s="30"/>
      <c r="C29" s="31"/>
      <c r="D29" s="31"/>
      <c r="E29" s="31"/>
      <c r="F29" s="32"/>
      <c r="G29" s="65" t="s">
        <v>76</v>
      </c>
      <c r="H29" s="65" t="s">
        <v>48</v>
      </c>
      <c r="I29" s="65" t="s">
        <v>77</v>
      </c>
      <c r="J29" s="66" t="s">
        <v>51</v>
      </c>
      <c r="K29" s="65"/>
      <c r="L29" s="5"/>
    </row>
    <row r="30" spans="1:12" ht="16.05" customHeight="1" x14ac:dyDescent="0.3">
      <c r="A30" s="5"/>
      <c r="B30" s="30"/>
      <c r="C30" s="31"/>
      <c r="D30" s="31"/>
      <c r="E30" s="31"/>
      <c r="F30" s="32"/>
      <c r="G30" s="19" t="s">
        <v>78</v>
      </c>
      <c r="H30" s="149">
        <f>SUMIFS(Ventas!$F$5:$F$383,Ventas!$K$5:$K$383,$G30)</f>
        <v>1756400</v>
      </c>
      <c r="I30" s="146">
        <f>COUNTIFS(Ventas!$K$5:$K$383,$G30)</f>
        <v>185</v>
      </c>
      <c r="J30" s="154">
        <f>IFERROR(H30/$H$34,0)</f>
        <v>0.50154197601370643</v>
      </c>
      <c r="K30" s="21"/>
      <c r="L30" s="5"/>
    </row>
    <row r="31" spans="1:12" ht="16.05" customHeight="1" x14ac:dyDescent="0.3">
      <c r="A31" s="5"/>
      <c r="B31" s="30"/>
      <c r="C31" s="31"/>
      <c r="D31" s="31"/>
      <c r="E31" s="31"/>
      <c r="F31" s="32"/>
      <c r="G31" s="22" t="s">
        <v>79</v>
      </c>
      <c r="H31" s="150">
        <f>SUMIFS(Ventas!$F$5:$F$383,Ventas!$K$5:$K$383,$G31)</f>
        <v>1039500</v>
      </c>
      <c r="I31" s="147">
        <f>COUNTIFS(Ventas!$K$5:$K$383,$G31)</f>
        <v>110</v>
      </c>
      <c r="J31" s="153">
        <f>IFERROR(H31/$H$34,0)</f>
        <v>0.29683038263849226</v>
      </c>
      <c r="K31" s="24"/>
      <c r="L31" s="5"/>
    </row>
    <row r="32" spans="1:12" ht="16.05" customHeight="1" x14ac:dyDescent="0.3">
      <c r="A32" s="5"/>
      <c r="B32" s="30"/>
      <c r="C32" s="31"/>
      <c r="D32" s="31"/>
      <c r="E32" s="31"/>
      <c r="F32" s="32"/>
      <c r="G32" s="19" t="s">
        <v>80</v>
      </c>
      <c r="H32" s="149">
        <f>SUMIFS(Ventas!$F$5:$F$383,Ventas!$K$5:$K$383,$G32)</f>
        <v>436200</v>
      </c>
      <c r="I32" s="146">
        <f>COUNTIFS(Ventas!$K$5:$K$383,$G32)</f>
        <v>45</v>
      </c>
      <c r="J32" s="154">
        <f>IFERROR(H32/$H$34,0)</f>
        <v>0.12455739577384352</v>
      </c>
      <c r="K32" s="21"/>
      <c r="L32" s="5"/>
    </row>
    <row r="33" spans="1:12" ht="16.05" customHeight="1" x14ac:dyDescent="0.3">
      <c r="A33" s="5"/>
      <c r="B33" s="30"/>
      <c r="C33" s="31"/>
      <c r="D33" s="31"/>
      <c r="E33" s="31"/>
      <c r="F33" s="32"/>
      <c r="G33" s="22" t="s">
        <v>81</v>
      </c>
      <c r="H33" s="150">
        <f>SUMIFS(Ventas!$F$5:$F$383,Ventas!$K$5:$K$383,$G33)</f>
        <v>269900</v>
      </c>
      <c r="I33" s="147">
        <f>COUNTIFS(Ventas!$K$5:$K$383,$G33)</f>
        <v>34</v>
      </c>
      <c r="J33" s="153">
        <f>IFERROR(H33/$H$34,0)</f>
        <v>7.7070245573957738E-2</v>
      </c>
      <c r="K33" s="24"/>
      <c r="L33" s="5"/>
    </row>
    <row r="34" spans="1:12" ht="18" customHeight="1" x14ac:dyDescent="0.3">
      <c r="A34" s="5"/>
      <c r="B34" s="30"/>
      <c r="C34" s="31"/>
      <c r="D34" s="31"/>
      <c r="E34" s="31"/>
      <c r="F34" s="32"/>
      <c r="G34" s="25" t="s">
        <v>71</v>
      </c>
      <c r="H34" s="151">
        <f>SUM(H30:H33)</f>
        <v>3502000</v>
      </c>
      <c r="I34" s="148">
        <f>SUM(I30:I33)</f>
        <v>374</v>
      </c>
      <c r="J34" s="25"/>
      <c r="K34" s="25"/>
      <c r="L34" s="5"/>
    </row>
    <row r="35" spans="1:12" x14ac:dyDescent="0.3">
      <c r="A35" s="5"/>
      <c r="B35" s="30"/>
      <c r="C35" s="31"/>
      <c r="D35" s="31"/>
      <c r="E35" s="31"/>
      <c r="F35" s="32"/>
      <c r="G35" s="30"/>
      <c r="H35" s="31"/>
      <c r="I35" s="31"/>
      <c r="J35" s="31"/>
      <c r="K35" s="32"/>
      <c r="L35" s="5"/>
    </row>
    <row r="36" spans="1:12" x14ac:dyDescent="0.3">
      <c r="A36" s="5"/>
      <c r="B36" s="30"/>
      <c r="C36" s="31"/>
      <c r="D36" s="31"/>
      <c r="E36" s="31"/>
      <c r="F36" s="32"/>
      <c r="G36" s="30"/>
      <c r="H36" s="31"/>
      <c r="I36" s="31"/>
      <c r="J36" s="31"/>
      <c r="K36" s="32"/>
      <c r="L36" s="5"/>
    </row>
    <row r="37" spans="1:12" x14ac:dyDescent="0.3">
      <c r="A37" s="5"/>
      <c r="B37" s="30"/>
      <c r="C37" s="31"/>
      <c r="D37" s="31"/>
      <c r="E37" s="31"/>
      <c r="F37" s="32"/>
      <c r="G37" s="30"/>
      <c r="H37" s="31"/>
      <c r="I37" s="31"/>
      <c r="J37" s="31"/>
      <c r="K37" s="32"/>
      <c r="L37" s="5"/>
    </row>
    <row r="38" spans="1:12" x14ac:dyDescent="0.3">
      <c r="A38" s="5"/>
      <c r="B38" s="30"/>
      <c r="C38" s="31"/>
      <c r="D38" s="31"/>
      <c r="E38" s="31"/>
      <c r="F38" s="32"/>
      <c r="G38" s="30"/>
      <c r="H38" s="31"/>
      <c r="I38" s="31"/>
      <c r="J38" s="31"/>
      <c r="K38" s="32"/>
      <c r="L38" s="5"/>
    </row>
    <row r="39" spans="1:12" x14ac:dyDescent="0.3">
      <c r="A39" s="5"/>
      <c r="B39" s="30"/>
      <c r="C39" s="31"/>
      <c r="D39" s="31"/>
      <c r="E39" s="31"/>
      <c r="F39" s="32"/>
      <c r="G39" s="30"/>
      <c r="H39" s="31"/>
      <c r="I39" s="31"/>
      <c r="J39" s="31"/>
      <c r="K39" s="32"/>
      <c r="L39" s="5"/>
    </row>
    <row r="40" spans="1:12" x14ac:dyDescent="0.3">
      <c r="A40" s="5"/>
      <c r="B40" s="30"/>
      <c r="C40" s="31"/>
      <c r="D40" s="31"/>
      <c r="E40" s="31"/>
      <c r="F40" s="32"/>
      <c r="G40" s="30"/>
      <c r="H40" s="31"/>
      <c r="I40" s="31"/>
      <c r="J40" s="31"/>
      <c r="K40" s="32"/>
      <c r="L40" s="5"/>
    </row>
    <row r="41" spans="1:12" x14ac:dyDescent="0.3">
      <c r="A41" s="5"/>
      <c r="B41" s="30"/>
      <c r="C41" s="31"/>
      <c r="D41" s="31"/>
      <c r="E41" s="31"/>
      <c r="F41" s="32"/>
      <c r="G41" s="30"/>
      <c r="H41" s="31"/>
      <c r="I41" s="31"/>
      <c r="J41" s="31"/>
      <c r="K41" s="32"/>
      <c r="L41" s="5"/>
    </row>
    <row r="42" spans="1:12" x14ac:dyDescent="0.3">
      <c r="A42" s="5"/>
      <c r="B42" s="30"/>
      <c r="C42" s="31"/>
      <c r="D42" s="31"/>
      <c r="E42" s="31"/>
      <c r="F42" s="32"/>
      <c r="G42" s="30"/>
      <c r="H42" s="31"/>
      <c r="I42" s="31"/>
      <c r="J42" s="31"/>
      <c r="K42" s="32"/>
      <c r="L42" s="5"/>
    </row>
    <row r="43" spans="1:12" x14ac:dyDescent="0.3">
      <c r="A43" s="5"/>
      <c r="B43" s="30"/>
      <c r="C43" s="31"/>
      <c r="D43" s="31"/>
      <c r="E43" s="31"/>
      <c r="F43" s="32"/>
      <c r="G43" s="30"/>
      <c r="H43" s="31"/>
      <c r="I43" s="31"/>
      <c r="J43" s="31"/>
      <c r="K43" s="32"/>
      <c r="L43" s="5"/>
    </row>
    <row r="44" spans="1:12" x14ac:dyDescent="0.3">
      <c r="A44" s="5"/>
      <c r="B44" s="30"/>
      <c r="C44" s="31"/>
      <c r="D44" s="31"/>
      <c r="E44" s="31"/>
      <c r="F44" s="32"/>
      <c r="G44" s="30"/>
      <c r="H44" s="31"/>
      <c r="I44" s="31"/>
      <c r="J44" s="31"/>
      <c r="K44" s="32"/>
      <c r="L44" s="5"/>
    </row>
    <row r="45" spans="1:12" x14ac:dyDescent="0.3">
      <c r="A45" s="5"/>
      <c r="B45" s="30"/>
      <c r="C45" s="31"/>
      <c r="D45" s="31"/>
      <c r="E45" s="31"/>
      <c r="F45" s="32"/>
      <c r="G45" s="30"/>
      <c r="H45" s="31"/>
      <c r="I45" s="31"/>
      <c r="J45" s="31"/>
      <c r="K45" s="32"/>
      <c r="L45" s="5"/>
    </row>
    <row r="46" spans="1:12" x14ac:dyDescent="0.3">
      <c r="A46" s="5"/>
      <c r="B46" s="30"/>
      <c r="C46" s="31"/>
      <c r="D46" s="31"/>
      <c r="E46" s="31"/>
      <c r="F46" s="32"/>
      <c r="G46" s="30"/>
      <c r="H46" s="31"/>
      <c r="I46" s="31"/>
      <c r="J46" s="31"/>
      <c r="K46" s="32"/>
      <c r="L46" s="5"/>
    </row>
    <row r="47" spans="1:12" x14ac:dyDescent="0.3">
      <c r="A47" s="5"/>
      <c r="B47" s="30"/>
      <c r="C47" s="31"/>
      <c r="D47" s="31"/>
      <c r="E47" s="31"/>
      <c r="F47" s="32"/>
      <c r="G47" s="30"/>
      <c r="H47" s="31"/>
      <c r="I47" s="31"/>
      <c r="J47" s="31"/>
      <c r="K47" s="32"/>
      <c r="L47" s="5"/>
    </row>
    <row r="48" spans="1:12" x14ac:dyDescent="0.3">
      <c r="A48" s="5"/>
      <c r="B48" s="30"/>
      <c r="C48" s="31"/>
      <c r="D48" s="31"/>
      <c r="E48" s="31"/>
      <c r="F48" s="32"/>
      <c r="G48" s="30"/>
      <c r="H48" s="31"/>
      <c r="I48" s="31"/>
      <c r="J48" s="31"/>
      <c r="K48" s="32"/>
      <c r="L48" s="5"/>
    </row>
    <row r="49" spans="1:12" x14ac:dyDescent="0.3">
      <c r="A49" s="5"/>
      <c r="B49" s="30"/>
      <c r="C49" s="31"/>
      <c r="D49" s="31"/>
      <c r="E49" s="31"/>
      <c r="F49" s="32"/>
      <c r="G49" s="30"/>
      <c r="H49" s="31"/>
      <c r="I49" s="31"/>
      <c r="J49" s="31"/>
      <c r="K49" s="32"/>
      <c r="L49" s="5"/>
    </row>
    <row r="50" spans="1:12" ht="10.050000000000001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3" customHeight="1" x14ac:dyDescent="0.3">
      <c r="A51" s="5"/>
      <c r="B51" s="11"/>
      <c r="C51" s="33"/>
      <c r="D51" s="33"/>
      <c r="E51" s="33"/>
      <c r="F51" s="33"/>
      <c r="G51" s="33"/>
      <c r="H51" s="33"/>
      <c r="I51" s="33"/>
      <c r="J51" s="33"/>
      <c r="K51" s="12"/>
      <c r="L51" s="5"/>
    </row>
    <row r="52" spans="1:12" ht="21" customHeight="1" x14ac:dyDescent="0.3">
      <c r="A52" s="5"/>
      <c r="B52" s="84" t="s">
        <v>82</v>
      </c>
      <c r="C52" s="77"/>
      <c r="D52" s="77"/>
      <c r="E52" s="77"/>
      <c r="F52" s="77"/>
      <c r="G52" s="77"/>
      <c r="H52" s="77"/>
      <c r="I52" s="77"/>
      <c r="J52" s="77"/>
      <c r="K52" s="83"/>
      <c r="L52" s="5"/>
    </row>
    <row r="53" spans="1:12" ht="13.95" customHeight="1" x14ac:dyDescent="0.3">
      <c r="A53" s="5"/>
      <c r="B53" s="79" t="s">
        <v>83</v>
      </c>
      <c r="C53" s="80"/>
      <c r="D53" s="80"/>
      <c r="E53" s="80"/>
      <c r="F53" s="80"/>
      <c r="G53" s="80"/>
      <c r="H53" s="80"/>
      <c r="I53" s="80"/>
      <c r="J53" s="80"/>
      <c r="K53" s="81"/>
      <c r="L53" s="5"/>
    </row>
    <row r="54" spans="1:12" ht="19.05" customHeight="1" x14ac:dyDescent="0.3">
      <c r="A54" s="5"/>
      <c r="B54" s="65" t="s">
        <v>84</v>
      </c>
      <c r="C54" s="65" t="s">
        <v>85</v>
      </c>
      <c r="D54" s="65" t="s">
        <v>86</v>
      </c>
      <c r="E54" s="65" t="s">
        <v>87</v>
      </c>
      <c r="F54" s="65" t="s">
        <v>88</v>
      </c>
      <c r="G54" s="65" t="s">
        <v>89</v>
      </c>
      <c r="H54" s="65" t="s">
        <v>90</v>
      </c>
      <c r="I54" s="65" t="s">
        <v>91</v>
      </c>
      <c r="J54" s="65" t="s">
        <v>46</v>
      </c>
      <c r="K54" s="65" t="s">
        <v>92</v>
      </c>
      <c r="L54" s="5"/>
    </row>
    <row r="55" spans="1:12" ht="16.05" customHeight="1" x14ac:dyDescent="0.3">
      <c r="A55" s="5"/>
      <c r="B55" s="138" t="str">
        <f>IF(Productos!$A5="","",Productos!$B5)</f>
        <v>Arroz x 500 g</v>
      </c>
      <c r="C55" s="146">
        <f>IF($B55="","",Productos!$K5)</f>
        <v>36</v>
      </c>
      <c r="D55" s="155">
        <f>IF($B55="","",IFERROR(C55/Instrucciones!$D$15,0))</f>
        <v>1.2</v>
      </c>
      <c r="E55" s="146">
        <f>IF($B55="","",Productos!$M5)</f>
        <v>30</v>
      </c>
      <c r="F55" s="161" t="str">
        <f>IF($B55="","",Productos!$O5)</f>
        <v>C</v>
      </c>
      <c r="G55" s="155">
        <f t="shared" ref="G55:G74" si="2">IF($B55="","",IF(D55=0,"",E55/D55))</f>
        <v>25</v>
      </c>
      <c r="H55" s="164">
        <f>IF($B55="","",MAX(0,ROUND(D55*(Instrucciones!$D$16+Instrucciones!$D$17)-E55,0)))</f>
        <v>4</v>
      </c>
      <c r="I55" s="149">
        <f>IF($B55="","",H55*Productos!$E5)</f>
        <v>7400</v>
      </c>
      <c r="J55" s="161" t="str">
        <f>IF($B55="","",IF(G55="","Sin venta",IF(G55&lt;Instrucciones!$D$17,"Urgente",IF(G55&lt;Instrucciones!$D$16,"Reponer","Suficiente"))))</f>
        <v>Suficiente</v>
      </c>
      <c r="K55" s="170">
        <f t="shared" ref="K55:K74" si="3">IF($B55="","",IFERROR(I55/$I$75,0))</f>
        <v>1.5481171548117154E-2</v>
      </c>
      <c r="L55" s="5"/>
    </row>
    <row r="56" spans="1:12" ht="16.05" customHeight="1" x14ac:dyDescent="0.3">
      <c r="A56" s="5"/>
      <c r="B56" s="139" t="str">
        <f>IF(Productos!$A6="","",Productos!$B6)</f>
        <v>Aceite girasol 1 L</v>
      </c>
      <c r="C56" s="147">
        <f>IF($B56="","",Productos!$K6)</f>
        <v>24</v>
      </c>
      <c r="D56" s="156">
        <f>IF($B56="","",IFERROR(C56/Instrucciones!$D$15,0))</f>
        <v>0.8</v>
      </c>
      <c r="E56" s="147">
        <f>IF($B56="","",Productos!$M6)</f>
        <v>36</v>
      </c>
      <c r="F56" s="162" t="str">
        <f>IF($B56="","",Productos!$O6)</f>
        <v>B</v>
      </c>
      <c r="G56" s="156">
        <f t="shared" si="2"/>
        <v>45</v>
      </c>
      <c r="H56" s="165">
        <f>IF($B56="","",MAX(0,ROUND(D56*(Instrucciones!$D$16+Instrucciones!$D$17)-E56,0)))</f>
        <v>0</v>
      </c>
      <c r="I56" s="150">
        <f>IF($B56="","",H56*Productos!$E6)</f>
        <v>0</v>
      </c>
      <c r="J56" s="162" t="str">
        <f>IF($B56="","",IF(G56="","Sin venta",IF(G56&lt;Instrucciones!$D$17,"Urgente",IF(G56&lt;Instrucciones!$D$16,"Reponer","Suficiente"))))</f>
        <v>Suficiente</v>
      </c>
      <c r="K56" s="171">
        <f t="shared" si="3"/>
        <v>0</v>
      </c>
      <c r="L56" s="5"/>
    </row>
    <row r="57" spans="1:12" ht="16.05" customHeight="1" x14ac:dyDescent="0.3">
      <c r="A57" s="5"/>
      <c r="B57" s="138" t="str">
        <f>IF(Productos!$A7="","",Productos!$B7)</f>
        <v>Panela x 500 g</v>
      </c>
      <c r="C57" s="146">
        <f>IF($B57="","",Productos!$K7)</f>
        <v>31</v>
      </c>
      <c r="D57" s="155">
        <f>IF($B57="","",IFERROR(C57/Instrucciones!$D$15,0))</f>
        <v>1.0333333333333334</v>
      </c>
      <c r="E57" s="146">
        <f>IF($B57="","",Productos!$M7)</f>
        <v>42</v>
      </c>
      <c r="F57" s="161" t="str">
        <f>IF($B57="","",Productos!$O7)</f>
        <v>C</v>
      </c>
      <c r="G57" s="155">
        <f t="shared" si="2"/>
        <v>40.645161290322577</v>
      </c>
      <c r="H57" s="164">
        <f>IF($B57="","",MAX(0,ROUND(D57*(Instrucciones!$D$16+Instrucciones!$D$17)-E57,0)))</f>
        <v>0</v>
      </c>
      <c r="I57" s="149">
        <f>IF($B57="","",H57*Productos!$E7)</f>
        <v>0</v>
      </c>
      <c r="J57" s="161" t="str">
        <f>IF($B57="","",IF(G57="","Sin venta",IF(G57&lt;Instrucciones!$D$17,"Urgente",IF(G57&lt;Instrucciones!$D$16,"Reponer","Suficiente"))))</f>
        <v>Suficiente</v>
      </c>
      <c r="K57" s="170">
        <f t="shared" si="3"/>
        <v>0</v>
      </c>
      <c r="L57" s="5"/>
    </row>
    <row r="58" spans="1:12" ht="16.05" customHeight="1" x14ac:dyDescent="0.3">
      <c r="A58" s="5"/>
      <c r="B58" s="139" t="str">
        <f>IF(Productos!$A8="","",Productos!$B8)</f>
        <v>Leche entera 1 L</v>
      </c>
      <c r="C58" s="147">
        <f>IF($B58="","",Productos!$K8)</f>
        <v>41</v>
      </c>
      <c r="D58" s="156">
        <f>IF($B58="","",IFERROR(C58/Instrucciones!$D$15,0))</f>
        <v>1.3666666666666667</v>
      </c>
      <c r="E58" s="147">
        <f>IF($B58="","",Productos!$M8)</f>
        <v>26</v>
      </c>
      <c r="F58" s="162" t="str">
        <f>IF($B58="","",Productos!$O8)</f>
        <v>B</v>
      </c>
      <c r="G58" s="156">
        <f t="shared" si="2"/>
        <v>19.024390243902438</v>
      </c>
      <c r="H58" s="165">
        <f>IF($B58="","",MAX(0,ROUND(D58*(Instrucciones!$D$16+Instrucciones!$D$17)-E58,0)))</f>
        <v>12</v>
      </c>
      <c r="I58" s="150">
        <f>IF($B58="","",H58*Productos!$E8)</f>
        <v>37200</v>
      </c>
      <c r="J58" s="162" t="str">
        <f>IF($B58="","",IF(G58="","Sin venta",IF(G58&lt;Instrucciones!$D$17,"Urgente",IF(G58&lt;Instrucciones!$D$16,"Reponer","Suficiente"))))</f>
        <v>Reponer</v>
      </c>
      <c r="K58" s="171">
        <f t="shared" si="3"/>
        <v>7.7824267782426779E-2</v>
      </c>
      <c r="L58" s="5"/>
    </row>
    <row r="59" spans="1:12" ht="16.05" customHeight="1" x14ac:dyDescent="0.3">
      <c r="A59" s="5"/>
      <c r="B59" s="138" t="str">
        <f>IF(Productos!$A9="","",Productos!$B9)</f>
        <v>Queso campesino 500 g</v>
      </c>
      <c r="C59" s="146">
        <f>IF($B59="","",Productos!$K9)</f>
        <v>24</v>
      </c>
      <c r="D59" s="155">
        <f>IF($B59="","",IFERROR(C59/Instrucciones!$D$15,0))</f>
        <v>0.8</v>
      </c>
      <c r="E59" s="146">
        <f>IF($B59="","",Productos!$M9)</f>
        <v>39</v>
      </c>
      <c r="F59" s="161" t="str">
        <f>IF($B59="","",Productos!$O9)</f>
        <v>A</v>
      </c>
      <c r="G59" s="155">
        <f t="shared" si="2"/>
        <v>48.75</v>
      </c>
      <c r="H59" s="164">
        <f>IF($B59="","",MAX(0,ROUND(D59*(Instrucciones!$D$16+Instrucciones!$D$17)-E59,0)))</f>
        <v>0</v>
      </c>
      <c r="I59" s="149">
        <f>IF($B59="","",H59*Productos!$E9)</f>
        <v>0</v>
      </c>
      <c r="J59" s="161" t="str">
        <f>IF($B59="","",IF(G59="","Sin venta",IF(G59&lt;Instrucciones!$D$17,"Urgente",IF(G59&lt;Instrucciones!$D$16,"Reponer","Suficiente"))))</f>
        <v>Suficiente</v>
      </c>
      <c r="K59" s="170">
        <f t="shared" si="3"/>
        <v>0</v>
      </c>
      <c r="L59" s="5"/>
    </row>
    <row r="60" spans="1:12" ht="16.05" customHeight="1" x14ac:dyDescent="0.3">
      <c r="A60" s="5"/>
      <c r="B60" s="139" t="str">
        <f>IF(Productos!$A10="","",Productos!$B10)</f>
        <v>Yogur 1 L</v>
      </c>
      <c r="C60" s="147">
        <f>IF($B60="","",Productos!$K10)</f>
        <v>18</v>
      </c>
      <c r="D60" s="156">
        <f>IF($B60="","",IFERROR(C60/Instrucciones!$D$15,0))</f>
        <v>0.6</v>
      </c>
      <c r="E60" s="147">
        <f>IF($B60="","",Productos!$M10)</f>
        <v>37</v>
      </c>
      <c r="F60" s="162" t="str">
        <f>IF($B60="","",Productos!$O10)</f>
        <v>B</v>
      </c>
      <c r="G60" s="156">
        <f t="shared" si="2"/>
        <v>61.666666666666671</v>
      </c>
      <c r="H60" s="165">
        <f>IF($B60="","",MAX(0,ROUND(D60*(Instrucciones!$D$16+Instrucciones!$D$17)-E60,0)))</f>
        <v>0</v>
      </c>
      <c r="I60" s="150">
        <f>IF($B60="","",H60*Productos!$E10)</f>
        <v>0</v>
      </c>
      <c r="J60" s="162" t="str">
        <f>IF($B60="","",IF(G60="","Sin venta",IF(G60&lt;Instrucciones!$D$17,"Urgente",IF(G60&lt;Instrucciones!$D$16,"Reponer","Suficiente"))))</f>
        <v>Suficiente</v>
      </c>
      <c r="K60" s="171">
        <f t="shared" si="3"/>
        <v>0</v>
      </c>
      <c r="L60" s="5"/>
    </row>
    <row r="61" spans="1:12" ht="16.05" customHeight="1" x14ac:dyDescent="0.3">
      <c r="A61" s="5"/>
      <c r="B61" s="138" t="str">
        <f>IF(Productos!$A11="","",Productos!$B11)</f>
        <v>Gaseosa 1,5 L</v>
      </c>
      <c r="C61" s="146">
        <f>IF($B61="","",Productos!$K11)</f>
        <v>44</v>
      </c>
      <c r="D61" s="155">
        <f>IF($B61="","",IFERROR(C61/Instrucciones!$D$15,0))</f>
        <v>1.4666666666666666</v>
      </c>
      <c r="E61" s="146">
        <f>IF($B61="","",Productos!$M11)</f>
        <v>15</v>
      </c>
      <c r="F61" s="161" t="str">
        <f>IF($B61="","",Productos!$O11)</f>
        <v>B</v>
      </c>
      <c r="G61" s="155">
        <f t="shared" si="2"/>
        <v>10.227272727272728</v>
      </c>
      <c r="H61" s="164">
        <f>IF($B61="","",MAX(0,ROUND(D61*(Instrucciones!$D$16+Instrucciones!$D$17)-E61,0)))</f>
        <v>26</v>
      </c>
      <c r="I61" s="149">
        <f>IF($B61="","",H61*Productos!$E11)</f>
        <v>88400</v>
      </c>
      <c r="J61" s="161" t="str">
        <f>IF($B61="","",IF(G61="","Sin venta",IF(G61&lt;Instrucciones!$D$17,"Urgente",IF(G61&lt;Instrucciones!$D$16,"Reponer","Suficiente"))))</f>
        <v>Reponer</v>
      </c>
      <c r="K61" s="170">
        <f t="shared" si="3"/>
        <v>0.18493723849372384</v>
      </c>
      <c r="L61" s="5"/>
    </row>
    <row r="62" spans="1:12" ht="16.05" customHeight="1" x14ac:dyDescent="0.3">
      <c r="A62" s="5"/>
      <c r="B62" s="139" t="str">
        <f>IF(Productos!$A12="","",Productos!$B12)</f>
        <v>Agua 600 ml</v>
      </c>
      <c r="C62" s="147">
        <f>IF($B62="","",Productos!$K12)</f>
        <v>49</v>
      </c>
      <c r="D62" s="156">
        <f>IF($B62="","",IFERROR(C62/Instrucciones!$D$15,0))</f>
        <v>1.6333333333333333</v>
      </c>
      <c r="E62" s="147">
        <f>IF($B62="","",Productos!$M12)</f>
        <v>10</v>
      </c>
      <c r="F62" s="162" t="str">
        <f>IF($B62="","",Productos!$O12)</f>
        <v>C</v>
      </c>
      <c r="G62" s="156">
        <f t="shared" si="2"/>
        <v>6.1224489795918364</v>
      </c>
      <c r="H62" s="165">
        <f>IF($B62="","",MAX(0,ROUND(D62*(Instrucciones!$D$16+Instrucciones!$D$17)-E62,0)))</f>
        <v>36</v>
      </c>
      <c r="I62" s="150">
        <f>IF($B62="","",H62*Productos!$E12)</f>
        <v>43200</v>
      </c>
      <c r="J62" s="162" t="str">
        <f>IF($B62="","",IF(G62="","Sin venta",IF(G62&lt;Instrucciones!$D$17,"Urgente",IF(G62&lt;Instrucciones!$D$16,"Reponer","Suficiente"))))</f>
        <v>Urgente</v>
      </c>
      <c r="K62" s="171">
        <f t="shared" si="3"/>
        <v>9.0376569037656909E-2</v>
      </c>
      <c r="L62" s="5"/>
    </row>
    <row r="63" spans="1:12" ht="16.05" customHeight="1" x14ac:dyDescent="0.3">
      <c r="A63" s="5"/>
      <c r="B63" s="138" t="str">
        <f>IF(Productos!$A13="","",Productos!$B13)</f>
        <v>Cerveza lata 330 ml</v>
      </c>
      <c r="C63" s="146">
        <f>IF($B63="","",Productos!$K13)</f>
        <v>50</v>
      </c>
      <c r="D63" s="155">
        <f>IF($B63="","",IFERROR(C63/Instrucciones!$D$15,0))</f>
        <v>1.6666666666666667</v>
      </c>
      <c r="E63" s="146">
        <f>IF($B63="","",Productos!$M13)</f>
        <v>10</v>
      </c>
      <c r="F63" s="161" t="str">
        <f>IF($B63="","",Productos!$O13)</f>
        <v>B</v>
      </c>
      <c r="G63" s="155">
        <f t="shared" si="2"/>
        <v>6</v>
      </c>
      <c r="H63" s="164">
        <f>IF($B63="","",MAX(0,ROUND(D63*(Instrucciones!$D$16+Instrucciones!$D$17)-E63,0)))</f>
        <v>37</v>
      </c>
      <c r="I63" s="149">
        <f>IF($B63="","",H63*Productos!$E13)</f>
        <v>96200</v>
      </c>
      <c r="J63" s="161" t="str">
        <f>IF($B63="","",IF(G63="","Sin venta",IF(G63&lt;Instrucciones!$D$17,"Urgente",IF(G63&lt;Instrucciones!$D$16,"Reponer","Suficiente"))))</f>
        <v>Urgente</v>
      </c>
      <c r="K63" s="170">
        <f t="shared" si="3"/>
        <v>0.20125523012552302</v>
      </c>
      <c r="L63" s="5"/>
    </row>
    <row r="64" spans="1:12" ht="16.05" customHeight="1" x14ac:dyDescent="0.3">
      <c r="A64" s="5"/>
      <c r="B64" s="139" t="str">
        <f>IF(Productos!$A14="","",Productos!$B14)</f>
        <v>Pan tajado 500 g</v>
      </c>
      <c r="C64" s="147">
        <f>IF($B64="","",Productos!$K14)</f>
        <v>42</v>
      </c>
      <c r="D64" s="156">
        <f>IF($B64="","",IFERROR(C64/Instrucciones!$D$15,0))</f>
        <v>1.4</v>
      </c>
      <c r="E64" s="147">
        <f>IF($B64="","",Productos!$M14)</f>
        <v>22</v>
      </c>
      <c r="F64" s="162" t="str">
        <f>IF($B64="","",Productos!$O14)</f>
        <v>B</v>
      </c>
      <c r="G64" s="156">
        <f t="shared" si="2"/>
        <v>15.714285714285715</v>
      </c>
      <c r="H64" s="165">
        <f>IF($B64="","",MAX(0,ROUND(D64*(Instrucciones!$D$16+Instrucciones!$D$17)-E64,0)))</f>
        <v>17</v>
      </c>
      <c r="I64" s="150">
        <f>IF($B64="","",H64*Productos!$E14)</f>
        <v>66300</v>
      </c>
      <c r="J64" s="162" t="str">
        <f>IF($B64="","",IF(G64="","Sin venta",IF(G64&lt;Instrucciones!$D$17,"Urgente",IF(G64&lt;Instrucciones!$D$16,"Reponer","Suficiente"))))</f>
        <v>Reponer</v>
      </c>
      <c r="K64" s="171">
        <f t="shared" si="3"/>
        <v>0.1387029288702929</v>
      </c>
      <c r="L64" s="5"/>
    </row>
    <row r="65" spans="1:12" ht="16.05" customHeight="1" x14ac:dyDescent="0.3">
      <c r="A65" s="5"/>
      <c r="B65" s="138" t="str">
        <f>IF(Productos!$A15="","",Productos!$B15)</f>
        <v>Galletas surtidas</v>
      </c>
      <c r="C65" s="146">
        <f>IF($B65="","",Productos!$K15)</f>
        <v>56</v>
      </c>
      <c r="D65" s="155">
        <f>IF($B65="","",IFERROR(C65/Instrucciones!$D$15,0))</f>
        <v>1.8666666666666667</v>
      </c>
      <c r="E65" s="146">
        <f>IF($B65="","",Productos!$M15)</f>
        <v>9</v>
      </c>
      <c r="F65" s="161" t="str">
        <f>IF($B65="","",Productos!$O15)</f>
        <v>B</v>
      </c>
      <c r="G65" s="155">
        <f t="shared" si="2"/>
        <v>4.8214285714285712</v>
      </c>
      <c r="H65" s="164">
        <f>IF($B65="","",MAX(0,ROUND(D65*(Instrucciones!$D$16+Instrucciones!$D$17)-E65,0)))</f>
        <v>43</v>
      </c>
      <c r="I65" s="149">
        <f>IF($B65="","",H65*Productos!$E15)</f>
        <v>77400</v>
      </c>
      <c r="J65" s="161" t="str">
        <f>IF($B65="","",IF(G65="","Sin venta",IF(G65&lt;Instrucciones!$D$17,"Urgente",IF(G65&lt;Instrucciones!$D$16,"Reponer","Suficiente"))))</f>
        <v>Urgente</v>
      </c>
      <c r="K65" s="170">
        <f t="shared" si="3"/>
        <v>0.16192468619246861</v>
      </c>
      <c r="L65" s="5"/>
    </row>
    <row r="66" spans="1:12" ht="16.05" customHeight="1" x14ac:dyDescent="0.3">
      <c r="A66" s="5"/>
      <c r="B66" s="139" t="str">
        <f>IF(Productos!$A16="","",Productos!$B16)</f>
        <v>Papas fritas 105 g</v>
      </c>
      <c r="C66" s="147">
        <f>IF($B66="","",Productos!$K16)</f>
        <v>33</v>
      </c>
      <c r="D66" s="156">
        <f>IF($B66="","",IFERROR(C66/Instrucciones!$D$15,0))</f>
        <v>1.1000000000000001</v>
      </c>
      <c r="E66" s="147">
        <f>IF($B66="","",Productos!$M16)</f>
        <v>41</v>
      </c>
      <c r="F66" s="162" t="str">
        <f>IF($B66="","",Productos!$O16)</f>
        <v>B</v>
      </c>
      <c r="G66" s="156">
        <f t="shared" si="2"/>
        <v>37.272727272727266</v>
      </c>
      <c r="H66" s="165">
        <f>IF($B66="","",MAX(0,ROUND(D66*(Instrucciones!$D$16+Instrucciones!$D$17)-E66,0)))</f>
        <v>0</v>
      </c>
      <c r="I66" s="150">
        <f>IF($B66="","",H66*Productos!$E16)</f>
        <v>0</v>
      </c>
      <c r="J66" s="162" t="str">
        <f>IF($B66="","",IF(G66="","Sin venta",IF(G66&lt;Instrucciones!$D$17,"Urgente",IF(G66&lt;Instrucciones!$D$16,"Reponer","Suficiente"))))</f>
        <v>Suficiente</v>
      </c>
      <c r="K66" s="171">
        <f t="shared" si="3"/>
        <v>0</v>
      </c>
      <c r="L66" s="5"/>
    </row>
    <row r="67" spans="1:12" ht="16.05" customHeight="1" x14ac:dyDescent="0.3">
      <c r="A67" s="5"/>
      <c r="B67" s="138" t="str">
        <f>IF(Productos!$A17="","",Productos!$B17)</f>
        <v>Detergente 1 kg</v>
      </c>
      <c r="C67" s="146">
        <f>IF($B67="","",Productos!$K17)</f>
        <v>18</v>
      </c>
      <c r="D67" s="155">
        <f>IF($B67="","",IFERROR(C67/Instrucciones!$D$15,0))</f>
        <v>0.6</v>
      </c>
      <c r="E67" s="146">
        <f>IF($B67="","",Productos!$M17)</f>
        <v>39</v>
      </c>
      <c r="F67" s="161" t="str">
        <f>IF($B67="","",Productos!$O17)</f>
        <v>B</v>
      </c>
      <c r="G67" s="155">
        <f t="shared" si="2"/>
        <v>65</v>
      </c>
      <c r="H67" s="164">
        <f>IF($B67="","",MAX(0,ROUND(D67*(Instrucciones!$D$16+Instrucciones!$D$17)-E67,0)))</f>
        <v>0</v>
      </c>
      <c r="I67" s="149">
        <f>IF($B67="","",H67*Productos!$E17)</f>
        <v>0</v>
      </c>
      <c r="J67" s="161" t="str">
        <f>IF($B67="","",IF(G67="","Sin venta",IF(G67&lt;Instrucciones!$D$17,"Urgente",IF(G67&lt;Instrucciones!$D$16,"Reponer","Suficiente"))))</f>
        <v>Suficiente</v>
      </c>
      <c r="K67" s="170">
        <f t="shared" si="3"/>
        <v>0</v>
      </c>
      <c r="L67" s="5"/>
    </row>
    <row r="68" spans="1:12" ht="16.05" customHeight="1" x14ac:dyDescent="0.3">
      <c r="A68" s="5"/>
      <c r="B68" s="139" t="str">
        <f>IF(Productos!$A18="","",Productos!$B18)</f>
        <v>Jabón de barra</v>
      </c>
      <c r="C68" s="147">
        <f>IF($B68="","",Productos!$K18)</f>
        <v>14</v>
      </c>
      <c r="D68" s="156">
        <f>IF($B68="","",IFERROR(C68/Instrucciones!$D$15,0))</f>
        <v>0.46666666666666667</v>
      </c>
      <c r="E68" s="147">
        <f>IF($B68="","",Productos!$M18)</f>
        <v>32</v>
      </c>
      <c r="F68" s="162" t="str">
        <f>IF($B68="","",Productos!$O18)</f>
        <v>C</v>
      </c>
      <c r="G68" s="156">
        <f t="shared" si="2"/>
        <v>68.571428571428569</v>
      </c>
      <c r="H68" s="165">
        <f>IF($B68="","",MAX(0,ROUND(D68*(Instrucciones!$D$16+Instrucciones!$D$17)-E68,0)))</f>
        <v>0</v>
      </c>
      <c r="I68" s="150">
        <f>IF($B68="","",H68*Productos!$E18)</f>
        <v>0</v>
      </c>
      <c r="J68" s="162" t="str">
        <f>IF($B68="","",IF(G68="","Sin venta",IF(G68&lt;Instrucciones!$D$17,"Urgente",IF(G68&lt;Instrucciones!$D$16,"Reponer","Suficiente"))))</f>
        <v>Suficiente</v>
      </c>
      <c r="K68" s="171">
        <f t="shared" si="3"/>
        <v>0</v>
      </c>
      <c r="L68" s="5"/>
    </row>
    <row r="69" spans="1:12" ht="16.05" customHeight="1" x14ac:dyDescent="0.3">
      <c r="A69" s="5"/>
      <c r="B69" s="138" t="str">
        <f>IF(Productos!$A19="","",Productos!$B19)</f>
        <v>Papel higiénico x 4</v>
      </c>
      <c r="C69" s="146">
        <f>IF($B69="","",Productos!$K19)</f>
        <v>20</v>
      </c>
      <c r="D69" s="155">
        <f>IF($B69="","",IFERROR(C69/Instrucciones!$D$15,0))</f>
        <v>0.66666666666666663</v>
      </c>
      <c r="E69" s="146">
        <f>IF($B69="","",Productos!$M19)</f>
        <v>38</v>
      </c>
      <c r="F69" s="161" t="str">
        <f>IF($B69="","",Productos!$O19)</f>
        <v>B</v>
      </c>
      <c r="G69" s="155">
        <f t="shared" si="2"/>
        <v>57</v>
      </c>
      <c r="H69" s="164">
        <f>IF($B69="","",MAX(0,ROUND(D69*(Instrucciones!$D$16+Instrucciones!$D$17)-E69,0)))</f>
        <v>0</v>
      </c>
      <c r="I69" s="149">
        <f>IF($B69="","",H69*Productos!$E19)</f>
        <v>0</v>
      </c>
      <c r="J69" s="161" t="str">
        <f>IF($B69="","",IF(G69="","Sin venta",IF(G69&lt;Instrucciones!$D$17,"Urgente",IF(G69&lt;Instrucciones!$D$16,"Reponer","Suficiente"))))</f>
        <v>Suficiente</v>
      </c>
      <c r="K69" s="170">
        <f t="shared" si="3"/>
        <v>0</v>
      </c>
      <c r="L69" s="5"/>
    </row>
    <row r="70" spans="1:12" ht="16.05" customHeight="1" x14ac:dyDescent="0.3">
      <c r="A70" s="5"/>
      <c r="B70" s="139" t="str">
        <f>IF(Productos!$A20="","",Productos!$B20)</f>
        <v>Huevos AA x 12</v>
      </c>
      <c r="C70" s="147">
        <f>IF($B70="","",Productos!$K20)</f>
        <v>34</v>
      </c>
      <c r="D70" s="156">
        <f>IF($B70="","",IFERROR(C70/Instrucciones!$D$15,0))</f>
        <v>1.1333333333333333</v>
      </c>
      <c r="E70" s="147">
        <f>IF($B70="","",Productos!$M20)</f>
        <v>37</v>
      </c>
      <c r="F70" s="162" t="str">
        <f>IF($B70="","",Productos!$O20)</f>
        <v>A</v>
      </c>
      <c r="G70" s="156">
        <f t="shared" si="2"/>
        <v>32.647058823529413</v>
      </c>
      <c r="H70" s="165">
        <f>IF($B70="","",MAX(0,ROUND(D70*(Instrucciones!$D$16+Instrucciones!$D$17)-E70,0)))</f>
        <v>0</v>
      </c>
      <c r="I70" s="150">
        <f>IF($B70="","",H70*Productos!$E20)</f>
        <v>0</v>
      </c>
      <c r="J70" s="162" t="str">
        <f>IF($B70="","",IF(G70="","Sin venta",IF(G70&lt;Instrucciones!$D$17,"Urgente",IF(G70&lt;Instrucciones!$D$16,"Reponer","Suficiente"))))</f>
        <v>Suficiente</v>
      </c>
      <c r="K70" s="171">
        <f t="shared" si="3"/>
        <v>0</v>
      </c>
      <c r="L70" s="5"/>
    </row>
    <row r="71" spans="1:12" ht="16.05" customHeight="1" x14ac:dyDescent="0.3">
      <c r="A71" s="5"/>
      <c r="B71" s="138" t="str">
        <f>IF(Productos!$A21="","",Productos!$B21)</f>
        <v>Pollo entero kg</v>
      </c>
      <c r="C71" s="146">
        <f>IF($B71="","",Productos!$K21)</f>
        <v>21</v>
      </c>
      <c r="D71" s="155">
        <f>IF($B71="","",IFERROR(C71/Instrucciones!$D$15,0))</f>
        <v>0.7</v>
      </c>
      <c r="E71" s="146">
        <f>IF($B71="","",Productos!$M21)</f>
        <v>37</v>
      </c>
      <c r="F71" s="161" t="str">
        <f>IF($B71="","",Productos!$O21)</f>
        <v>A</v>
      </c>
      <c r="G71" s="155">
        <f t="shared" si="2"/>
        <v>52.857142857142861</v>
      </c>
      <c r="H71" s="164">
        <f>IF($B71="","",MAX(0,ROUND(D71*(Instrucciones!$D$16+Instrucciones!$D$17)-E71,0)))</f>
        <v>0</v>
      </c>
      <c r="I71" s="149">
        <f>IF($B71="","",H71*Productos!$E21)</f>
        <v>0</v>
      </c>
      <c r="J71" s="161" t="str">
        <f>IF($B71="","",IF(G71="","Sin venta",IF(G71&lt;Instrucciones!$D$17,"Urgente",IF(G71&lt;Instrucciones!$D$16,"Reponer","Suficiente"))))</f>
        <v>Suficiente</v>
      </c>
      <c r="K71" s="170">
        <f t="shared" si="3"/>
        <v>0</v>
      </c>
      <c r="L71" s="5"/>
    </row>
    <row r="72" spans="1:12" ht="16.05" customHeight="1" x14ac:dyDescent="0.3">
      <c r="A72" s="5"/>
      <c r="B72" s="139" t="str">
        <f>IF(Productos!$A22="","",Productos!$B22)</f>
        <v>Tomate kg</v>
      </c>
      <c r="C72" s="147">
        <f>IF($B72="","",Productos!$K22)</f>
        <v>35</v>
      </c>
      <c r="D72" s="156">
        <f>IF($B72="","",IFERROR(C72/Instrucciones!$D$15,0))</f>
        <v>1.1666666666666667</v>
      </c>
      <c r="E72" s="147">
        <f>IF($B72="","",Productos!$M22)</f>
        <v>34</v>
      </c>
      <c r="F72" s="162" t="str">
        <f>IF($B72="","",Productos!$O22)</f>
        <v>B</v>
      </c>
      <c r="G72" s="156">
        <f t="shared" si="2"/>
        <v>29.142857142857142</v>
      </c>
      <c r="H72" s="165">
        <f>IF($B72="","",MAX(0,ROUND(D72*(Instrucciones!$D$16+Instrucciones!$D$17)-E72,0)))</f>
        <v>0</v>
      </c>
      <c r="I72" s="150">
        <f>IF($B72="","",H72*Productos!$E22)</f>
        <v>0</v>
      </c>
      <c r="J72" s="162" t="str">
        <f>IF($B72="","",IF(G72="","Sin venta",IF(G72&lt;Instrucciones!$D$17,"Urgente",IF(G72&lt;Instrucciones!$D$16,"Reponer","Suficiente"))))</f>
        <v>Suficiente</v>
      </c>
      <c r="K72" s="171">
        <f t="shared" si="3"/>
        <v>0</v>
      </c>
      <c r="L72" s="5"/>
    </row>
    <row r="73" spans="1:12" ht="16.05" customHeight="1" x14ac:dyDescent="0.3">
      <c r="A73" s="5"/>
      <c r="B73" s="138" t="str">
        <f>IF(Productos!$A23="","",Productos!$B23)</f>
        <v>Papa kg</v>
      </c>
      <c r="C73" s="146">
        <f>IF($B73="","",Productos!$K23)</f>
        <v>43</v>
      </c>
      <c r="D73" s="155">
        <f>IF($B73="","",IFERROR(C73/Instrucciones!$D$15,0))</f>
        <v>1.4333333333333333</v>
      </c>
      <c r="E73" s="146">
        <f>IF($B73="","",Productos!$M23)</f>
        <v>19</v>
      </c>
      <c r="F73" s="161" t="str">
        <f>IF($B73="","",Productos!$O23)</f>
        <v>B</v>
      </c>
      <c r="G73" s="155">
        <f t="shared" si="2"/>
        <v>13.255813953488373</v>
      </c>
      <c r="H73" s="164">
        <f>IF($B73="","",MAX(0,ROUND(D73*(Instrucciones!$D$16+Instrucciones!$D$17)-E73,0)))</f>
        <v>21</v>
      </c>
      <c r="I73" s="149">
        <f>IF($B73="","",H73*Productos!$E23)</f>
        <v>39900</v>
      </c>
      <c r="J73" s="161" t="str">
        <f>IF($B73="","",IF(G73="","Sin venta",IF(G73&lt;Instrucciones!$D$17,"Urgente",IF(G73&lt;Instrucciones!$D$16,"Reponer","Suficiente"))))</f>
        <v>Reponer</v>
      </c>
      <c r="K73" s="170">
        <f t="shared" si="3"/>
        <v>8.3472803347280342E-2</v>
      </c>
      <c r="L73" s="5"/>
    </row>
    <row r="74" spans="1:12" ht="16.05" customHeight="1" x14ac:dyDescent="0.3">
      <c r="A74" s="5"/>
      <c r="B74" s="139" t="str">
        <f>IF(Productos!$A24="","",Productos!$B24)</f>
        <v>Banano kg</v>
      </c>
      <c r="C74" s="147">
        <f>IF($B74="","",Productos!$K24)</f>
        <v>37</v>
      </c>
      <c r="D74" s="156">
        <f>IF($B74="","",IFERROR(C74/Instrucciones!$D$15,0))</f>
        <v>1.2333333333333334</v>
      </c>
      <c r="E74" s="147">
        <f>IF($B74="","",Productos!$M24)</f>
        <v>25</v>
      </c>
      <c r="F74" s="162" t="str">
        <f>IF($B74="","",Productos!$O24)</f>
        <v>B</v>
      </c>
      <c r="G74" s="156">
        <f t="shared" si="2"/>
        <v>20.27027027027027</v>
      </c>
      <c r="H74" s="165">
        <f>IF($B74="","",MAX(0,ROUND(D74*(Instrucciones!$D$16+Instrucciones!$D$17)-E74,0)))</f>
        <v>10</v>
      </c>
      <c r="I74" s="150">
        <f>IF($B74="","",H74*Productos!$E24)</f>
        <v>22000</v>
      </c>
      <c r="J74" s="162" t="str">
        <f>IF($B74="","",IF(G74="","Sin venta",IF(G74&lt;Instrucciones!$D$17,"Urgente",IF(G74&lt;Instrucciones!$D$16,"Reponer","Suficiente"))))</f>
        <v>Reponer</v>
      </c>
      <c r="K74" s="171">
        <f t="shared" si="3"/>
        <v>4.6025104602510462E-2</v>
      </c>
      <c r="L74" s="5"/>
    </row>
    <row r="75" spans="1:12" ht="18" customHeight="1" x14ac:dyDescent="0.3">
      <c r="A75" s="5"/>
      <c r="B75" s="25" t="s">
        <v>71</v>
      </c>
      <c r="C75" s="148">
        <f>SUM(C55:C74)</f>
        <v>670</v>
      </c>
      <c r="D75" s="25"/>
      <c r="E75" s="148">
        <f>SUM(E55:E74)</f>
        <v>578</v>
      </c>
      <c r="F75" s="25"/>
      <c r="G75" s="25"/>
      <c r="H75" s="148">
        <f>SUM(H55:H74)</f>
        <v>206</v>
      </c>
      <c r="I75" s="151">
        <f>SUM(I55:I74)</f>
        <v>478000</v>
      </c>
      <c r="J75" s="25"/>
      <c r="K75" s="25"/>
      <c r="L75" s="5"/>
    </row>
    <row r="76" spans="1:12" ht="7.05" customHeight="1" x14ac:dyDescent="0.3">
      <c r="A76" s="5"/>
      <c r="B76" s="26"/>
      <c r="C76" s="27"/>
      <c r="D76" s="27"/>
      <c r="E76" s="27"/>
      <c r="F76" s="27"/>
      <c r="G76" s="27"/>
      <c r="H76" s="27"/>
      <c r="I76" s="27"/>
      <c r="J76" s="27"/>
      <c r="K76" s="28"/>
      <c r="L76" s="5"/>
    </row>
    <row r="77" spans="1:12" ht="10.050000000000001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3" customHeight="1" x14ac:dyDescent="0.3">
      <c r="A78" s="5"/>
      <c r="B78" s="34"/>
      <c r="C78" s="35"/>
      <c r="D78" s="35"/>
      <c r="E78" s="35"/>
      <c r="F78" s="36"/>
      <c r="G78" s="13"/>
      <c r="H78" s="37"/>
      <c r="I78" s="37"/>
      <c r="J78" s="37"/>
      <c r="K78" s="14"/>
      <c r="L78" s="5"/>
    </row>
    <row r="79" spans="1:12" ht="21" customHeight="1" x14ac:dyDescent="0.3">
      <c r="A79" s="5"/>
      <c r="B79" s="84" t="s">
        <v>93</v>
      </c>
      <c r="C79" s="77"/>
      <c r="D79" s="77"/>
      <c r="E79" s="77"/>
      <c r="F79" s="83"/>
      <c r="G79" s="84" t="s">
        <v>94</v>
      </c>
      <c r="H79" s="77"/>
      <c r="I79" s="77"/>
      <c r="J79" s="77"/>
      <c r="K79" s="83"/>
      <c r="L79" s="5"/>
    </row>
    <row r="80" spans="1:12" ht="13.95" customHeight="1" x14ac:dyDescent="0.3">
      <c r="A80" s="5"/>
      <c r="B80" s="79" t="s">
        <v>95</v>
      </c>
      <c r="C80" s="80"/>
      <c r="D80" s="80"/>
      <c r="E80" s="80"/>
      <c r="F80" s="81"/>
      <c r="G80" s="79" t="s">
        <v>96</v>
      </c>
      <c r="H80" s="80"/>
      <c r="I80" s="80"/>
      <c r="J80" s="80"/>
      <c r="K80" s="81"/>
      <c r="L80" s="5"/>
    </row>
    <row r="81" spans="1:12" ht="19.05" customHeight="1" x14ac:dyDescent="0.3">
      <c r="A81" s="5"/>
      <c r="B81" s="67" t="s">
        <v>97</v>
      </c>
      <c r="C81" s="66" t="s">
        <v>48</v>
      </c>
      <c r="D81" s="66" t="s">
        <v>77</v>
      </c>
      <c r="E81" s="66" t="s">
        <v>51</v>
      </c>
      <c r="F81" s="66"/>
      <c r="G81" s="67" t="s">
        <v>98</v>
      </c>
      <c r="H81" s="66" t="s">
        <v>99</v>
      </c>
      <c r="I81" s="66" t="s">
        <v>100</v>
      </c>
      <c r="J81" s="66" t="s">
        <v>101</v>
      </c>
      <c r="K81" s="66"/>
      <c r="L81" s="5"/>
    </row>
    <row r="82" spans="1:12" ht="16.05" customHeight="1" x14ac:dyDescent="0.3">
      <c r="A82" s="5"/>
      <c r="B82" s="19" t="s">
        <v>102</v>
      </c>
      <c r="C82" s="149">
        <f>SUMIFS(Ventas!$F$5:$F$383,Ventas!$J$5:$J$383,$B82)</f>
        <v>900600</v>
      </c>
      <c r="D82" s="146">
        <f>COUNTIFS(Ventas!$J$5:$J$383,$B82)</f>
        <v>100</v>
      </c>
      <c r="E82" s="154">
        <f>IFERROR(C82/$C$86,0)</f>
        <v>0.25716733295259853</v>
      </c>
      <c r="F82" s="21"/>
      <c r="G82" s="19" t="s">
        <v>103</v>
      </c>
      <c r="H82" s="146">
        <f>SUMIFS(Mermas!$D$5:$D$16,Mermas!$G$5:$G$16,$G82)</f>
        <v>8</v>
      </c>
      <c r="I82" s="149">
        <f>SUMIFS(Mermas!$F$5:$F$16,Mermas!$G$5:$G$16,$G82)</f>
        <v>33200</v>
      </c>
      <c r="J82" s="154">
        <f>IFERROR(I82/$I$86,0)</f>
        <v>0.54248366013071891</v>
      </c>
      <c r="K82" s="21"/>
      <c r="L82" s="5"/>
    </row>
    <row r="83" spans="1:12" ht="16.05" customHeight="1" x14ac:dyDescent="0.3">
      <c r="A83" s="5"/>
      <c r="B83" s="22" t="s">
        <v>104</v>
      </c>
      <c r="C83" s="150">
        <f>SUMIFS(Ventas!$F$5:$F$383,Ventas!$J$5:$J$383,$B83)</f>
        <v>1326100</v>
      </c>
      <c r="D83" s="147">
        <f>COUNTIFS(Ventas!$J$5:$J$383,$B83)</f>
        <v>119</v>
      </c>
      <c r="E83" s="153">
        <f>IFERROR(C83/$C$86,0)</f>
        <v>0.37866933181039408</v>
      </c>
      <c r="F83" s="24"/>
      <c r="G83" s="22" t="s">
        <v>105</v>
      </c>
      <c r="H83" s="147">
        <f>SUMIFS(Mermas!$D$5:$D$16,Mermas!$G$5:$G$16,$G83)</f>
        <v>4</v>
      </c>
      <c r="I83" s="150">
        <f>SUMIFS(Mermas!$F$5:$F$16,Mermas!$G$5:$G$16,$G83)</f>
        <v>23700</v>
      </c>
      <c r="J83" s="153">
        <f>IFERROR(I83/$I$86,0)</f>
        <v>0.38725490196078433</v>
      </c>
      <c r="K83" s="24"/>
      <c r="L83" s="5"/>
    </row>
    <row r="84" spans="1:12" ht="16.05" customHeight="1" x14ac:dyDescent="0.3">
      <c r="A84" s="5"/>
      <c r="B84" s="19" t="s">
        <v>106</v>
      </c>
      <c r="C84" s="149">
        <f>SUMIFS(Ventas!$F$5:$F$383,Ventas!$J$5:$J$383,$B84)</f>
        <v>919600</v>
      </c>
      <c r="D84" s="146">
        <f>COUNTIFS(Ventas!$J$5:$J$383,$B84)</f>
        <v>106</v>
      </c>
      <c r="E84" s="154">
        <f>IFERROR(C84/$C$86,0)</f>
        <v>0.26259280411193603</v>
      </c>
      <c r="F84" s="21"/>
      <c r="G84" s="19" t="s">
        <v>107</v>
      </c>
      <c r="H84" s="146">
        <f>SUMIFS(Mermas!$D$5:$D$16,Mermas!$G$5:$G$16,$G84)</f>
        <v>1</v>
      </c>
      <c r="I84" s="149">
        <f>SUMIFS(Mermas!$F$5:$F$16,Mermas!$G$5:$G$16,$G84)</f>
        <v>1200</v>
      </c>
      <c r="J84" s="154">
        <f>IFERROR(I84/$I$86,0)</f>
        <v>1.9607843137254902E-2</v>
      </c>
      <c r="K84" s="21"/>
      <c r="L84" s="5"/>
    </row>
    <row r="85" spans="1:12" ht="16.05" customHeight="1" x14ac:dyDescent="0.3">
      <c r="A85" s="5"/>
      <c r="B85" s="22" t="s">
        <v>108</v>
      </c>
      <c r="C85" s="150">
        <f>SUMIFS(Ventas!$F$5:$F$383,Ventas!$J$5:$J$383,$B85)</f>
        <v>355700</v>
      </c>
      <c r="D85" s="147">
        <f>COUNTIFS(Ventas!$J$5:$J$383,$B85)</f>
        <v>49</v>
      </c>
      <c r="E85" s="153">
        <f>IFERROR(C85/$C$86,0)</f>
        <v>0.10157053112507139</v>
      </c>
      <c r="F85" s="24"/>
      <c r="G85" s="22" t="s">
        <v>109</v>
      </c>
      <c r="H85" s="147">
        <f>SUMIFS(Mermas!$D$5:$D$16,Mermas!$G$5:$G$16,$G85)</f>
        <v>1</v>
      </c>
      <c r="I85" s="150">
        <f>SUMIFS(Mermas!$F$5:$F$16,Mermas!$G$5:$G$16,$G85)</f>
        <v>3100</v>
      </c>
      <c r="J85" s="153">
        <f>IFERROR(I85/$I$86,0)</f>
        <v>5.0653594771241831E-2</v>
      </c>
      <c r="K85" s="24"/>
      <c r="L85" s="5"/>
    </row>
    <row r="86" spans="1:12" ht="18" customHeight="1" x14ac:dyDescent="0.3">
      <c r="A86" s="5"/>
      <c r="B86" s="25" t="s">
        <v>71</v>
      </c>
      <c r="C86" s="151">
        <f>SUM(C82:C85)</f>
        <v>3502000</v>
      </c>
      <c r="D86" s="148">
        <f>SUM(D82:D85)</f>
        <v>374</v>
      </c>
      <c r="E86" s="25"/>
      <c r="F86" s="25"/>
      <c r="G86" s="25" t="s">
        <v>71</v>
      </c>
      <c r="H86" s="148">
        <f>SUM(H82:H85)</f>
        <v>14</v>
      </c>
      <c r="I86" s="151">
        <f>SUM(I82:I85)</f>
        <v>61200</v>
      </c>
      <c r="J86" s="25"/>
      <c r="K86" s="25"/>
      <c r="L86" s="5"/>
    </row>
    <row r="87" spans="1:12" x14ac:dyDescent="0.3">
      <c r="A87" s="5"/>
      <c r="B87" s="30"/>
      <c r="C87" s="31"/>
      <c r="D87" s="31"/>
      <c r="E87" s="31"/>
      <c r="F87" s="32"/>
      <c r="G87" s="30"/>
      <c r="H87" s="31"/>
      <c r="I87" s="31"/>
      <c r="J87" s="31"/>
      <c r="K87" s="32"/>
      <c r="L87" s="5"/>
    </row>
    <row r="88" spans="1:12" x14ac:dyDescent="0.3">
      <c r="A88" s="5"/>
      <c r="B88" s="30"/>
      <c r="C88" s="31"/>
      <c r="D88" s="31"/>
      <c r="E88" s="31"/>
      <c r="F88" s="32"/>
      <c r="G88" s="30"/>
      <c r="H88" s="31"/>
      <c r="I88" s="31"/>
      <c r="J88" s="31"/>
      <c r="K88" s="32"/>
      <c r="L88" s="5"/>
    </row>
    <row r="89" spans="1:12" x14ac:dyDescent="0.3">
      <c r="A89" s="5"/>
      <c r="B89" s="30"/>
      <c r="C89" s="31"/>
      <c r="D89" s="31"/>
      <c r="E89" s="31"/>
      <c r="F89" s="32"/>
      <c r="G89" s="30"/>
      <c r="H89" s="31"/>
      <c r="I89" s="31"/>
      <c r="J89" s="31"/>
      <c r="K89" s="32"/>
      <c r="L89" s="5"/>
    </row>
    <row r="90" spans="1:12" x14ac:dyDescent="0.3">
      <c r="A90" s="5"/>
      <c r="B90" s="30"/>
      <c r="C90" s="31"/>
      <c r="D90" s="31"/>
      <c r="E90" s="31"/>
      <c r="F90" s="32"/>
      <c r="G90" s="30"/>
      <c r="H90" s="31"/>
      <c r="I90" s="31"/>
      <c r="J90" s="31"/>
      <c r="K90" s="32"/>
      <c r="L90" s="5"/>
    </row>
    <row r="91" spans="1:12" x14ac:dyDescent="0.3">
      <c r="A91" s="5"/>
      <c r="B91" s="30"/>
      <c r="C91" s="31"/>
      <c r="D91" s="31"/>
      <c r="E91" s="31"/>
      <c r="F91" s="32"/>
      <c r="G91" s="30"/>
      <c r="H91" s="31"/>
      <c r="I91" s="31"/>
      <c r="J91" s="31"/>
      <c r="K91" s="32"/>
      <c r="L91" s="5"/>
    </row>
    <row r="92" spans="1:12" x14ac:dyDescent="0.3">
      <c r="A92" s="5"/>
      <c r="B92" s="30"/>
      <c r="C92" s="31"/>
      <c r="D92" s="31"/>
      <c r="E92" s="31"/>
      <c r="F92" s="32"/>
      <c r="G92" s="30"/>
      <c r="H92" s="31"/>
      <c r="I92" s="31"/>
      <c r="J92" s="31"/>
      <c r="K92" s="32"/>
      <c r="L92" s="5"/>
    </row>
    <row r="93" spans="1:12" x14ac:dyDescent="0.3">
      <c r="A93" s="5"/>
      <c r="B93" s="30"/>
      <c r="C93" s="31"/>
      <c r="D93" s="31"/>
      <c r="E93" s="31"/>
      <c r="F93" s="32"/>
      <c r="G93" s="30"/>
      <c r="H93" s="31"/>
      <c r="I93" s="31"/>
      <c r="J93" s="31"/>
      <c r="K93" s="32"/>
      <c r="L93" s="5"/>
    </row>
    <row r="94" spans="1:12" x14ac:dyDescent="0.3">
      <c r="A94" s="5"/>
      <c r="B94" s="30"/>
      <c r="C94" s="31"/>
      <c r="D94" s="31"/>
      <c r="E94" s="31"/>
      <c r="F94" s="32"/>
      <c r="G94" s="30"/>
      <c r="H94" s="31"/>
      <c r="I94" s="31"/>
      <c r="J94" s="31"/>
      <c r="K94" s="32"/>
      <c r="L94" s="5"/>
    </row>
    <row r="95" spans="1:12" x14ac:dyDescent="0.3">
      <c r="A95" s="5"/>
      <c r="B95" s="30"/>
      <c r="C95" s="31"/>
      <c r="D95" s="31"/>
      <c r="E95" s="31"/>
      <c r="F95" s="32"/>
      <c r="G95" s="30"/>
      <c r="H95" s="31"/>
      <c r="I95" s="31"/>
      <c r="J95" s="31"/>
      <c r="K95" s="32"/>
      <c r="L95" s="5"/>
    </row>
    <row r="96" spans="1:12" x14ac:dyDescent="0.3">
      <c r="A96" s="5"/>
      <c r="B96" s="30"/>
      <c r="C96" s="31"/>
      <c r="D96" s="31"/>
      <c r="E96" s="31"/>
      <c r="F96" s="32"/>
      <c r="G96" s="30"/>
      <c r="H96" s="31"/>
      <c r="I96" s="31"/>
      <c r="J96" s="31"/>
      <c r="K96" s="32"/>
      <c r="L96" s="5"/>
    </row>
    <row r="97" spans="1:12" x14ac:dyDescent="0.3">
      <c r="A97" s="5"/>
      <c r="B97" s="30"/>
      <c r="C97" s="31"/>
      <c r="D97" s="31"/>
      <c r="E97" s="31"/>
      <c r="F97" s="32"/>
      <c r="G97" s="30"/>
      <c r="H97" s="31"/>
      <c r="I97" s="31"/>
      <c r="J97" s="31"/>
      <c r="K97" s="32"/>
      <c r="L97" s="5"/>
    </row>
    <row r="98" spans="1:12" x14ac:dyDescent="0.3">
      <c r="A98" s="5"/>
      <c r="B98" s="30"/>
      <c r="C98" s="31"/>
      <c r="D98" s="31"/>
      <c r="E98" s="31"/>
      <c r="F98" s="32"/>
      <c r="G98" s="30"/>
      <c r="H98" s="31"/>
      <c r="I98" s="31"/>
      <c r="J98" s="31"/>
      <c r="K98" s="32"/>
      <c r="L98" s="5"/>
    </row>
    <row r="99" spans="1:12" x14ac:dyDescent="0.3">
      <c r="A99" s="5"/>
      <c r="B99" s="30"/>
      <c r="C99" s="31"/>
      <c r="D99" s="31"/>
      <c r="E99" s="31"/>
      <c r="F99" s="32"/>
      <c r="G99" s="30"/>
      <c r="H99" s="31"/>
      <c r="I99" s="31"/>
      <c r="J99" s="31"/>
      <c r="K99" s="32"/>
      <c r="L99" s="5"/>
    </row>
    <row r="100" spans="1:12" x14ac:dyDescent="0.3">
      <c r="A100" s="5"/>
      <c r="B100" s="30"/>
      <c r="C100" s="31"/>
      <c r="D100" s="31"/>
      <c r="E100" s="31"/>
      <c r="F100" s="32"/>
      <c r="G100" s="30"/>
      <c r="H100" s="31"/>
      <c r="I100" s="31"/>
      <c r="J100" s="31"/>
      <c r="K100" s="32"/>
      <c r="L100" s="5"/>
    </row>
    <row r="101" spans="1:12" ht="10.050000000000001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ht="15" customHeight="1" x14ac:dyDescent="0.3">
      <c r="A102" s="5"/>
      <c r="B102" s="86" t="s">
        <v>110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5"/>
    </row>
    <row r="103" spans="1:12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</sheetData>
  <sheetProtection sheet="1" objects="1" scenarios="1" insertHyperlinks="0" sort="0" autoFilter="0"/>
  <mergeCells count="32">
    <mergeCell ref="B102:K102"/>
    <mergeCell ref="B8:C8"/>
    <mergeCell ref="B3:K3"/>
    <mergeCell ref="F8:G8"/>
    <mergeCell ref="B79:F79"/>
    <mergeCell ref="D7:E7"/>
    <mergeCell ref="G80:K80"/>
    <mergeCell ref="B12:E12"/>
    <mergeCell ref="H7:I7"/>
    <mergeCell ref="B28:F28"/>
    <mergeCell ref="B53:K53"/>
    <mergeCell ref="J7:K7"/>
    <mergeCell ref="B11:E11"/>
    <mergeCell ref="B52:K52"/>
    <mergeCell ref="B27:F27"/>
    <mergeCell ref="F7:G7"/>
    <mergeCell ref="B2:K2"/>
    <mergeCell ref="D8:E8"/>
    <mergeCell ref="B80:F80"/>
    <mergeCell ref="B6:C6"/>
    <mergeCell ref="H8:I8"/>
    <mergeCell ref="J8:K8"/>
    <mergeCell ref="D6:E6"/>
    <mergeCell ref="G79:K79"/>
    <mergeCell ref="H6:I6"/>
    <mergeCell ref="J6:K6"/>
    <mergeCell ref="G28:K28"/>
    <mergeCell ref="B7:C7"/>
    <mergeCell ref="G12:K12"/>
    <mergeCell ref="G11:K11"/>
    <mergeCell ref="F6:G6"/>
    <mergeCell ref="G27:K27"/>
  </mergeCells>
  <conditionalFormatting sqref="C55:C74">
    <cfRule type="dataBar" priority="7">
      <dataBar>
        <cfvo type="num" val="0"/>
        <cfvo type="max"/>
        <color rgb="FF00D9B2"/>
      </dataBar>
    </cfRule>
  </conditionalFormatting>
  <conditionalFormatting sqref="E17:E18">
    <cfRule type="expression" dxfId="13" priority="1">
      <formula>E17="Cumple"</formula>
    </cfRule>
    <cfRule type="expression" dxfId="12" priority="2">
      <formula>E17="Aceptable"</formula>
    </cfRule>
    <cfRule type="expression" dxfId="11" priority="3">
      <formula>E17="Por debajo"</formula>
    </cfRule>
    <cfRule type="expression" dxfId="10" priority="4">
      <formula>E17="Alta"</formula>
    </cfRule>
  </conditionalFormatting>
  <conditionalFormatting sqref="F55:F74">
    <cfRule type="expression" dxfId="9" priority="12">
      <formula>$F55="A"</formula>
    </cfRule>
    <cfRule type="expression" dxfId="8" priority="13">
      <formula>$F55="B"</formula>
    </cfRule>
    <cfRule type="expression" dxfId="7" priority="14">
      <formula>$F55="C"</formula>
    </cfRule>
  </conditionalFormatting>
  <conditionalFormatting sqref="H14:H22">
    <cfRule type="dataBar" priority="5">
      <dataBar>
        <cfvo type="num" val="0"/>
        <cfvo type="max"/>
        <color rgb="FF4C8DFF"/>
      </dataBar>
    </cfRule>
  </conditionalFormatting>
  <conditionalFormatting sqref="I55:I74">
    <cfRule type="dataBar" priority="6">
      <dataBar>
        <cfvo type="num" val="0"/>
        <cfvo type="max"/>
        <color rgb="FFFFB020"/>
      </dataBar>
    </cfRule>
  </conditionalFormatting>
  <conditionalFormatting sqref="J55:J74">
    <cfRule type="expression" dxfId="6" priority="8">
      <formula>$J55="Urgente"</formula>
    </cfRule>
    <cfRule type="expression" dxfId="5" priority="9">
      <formula>$J55="Reponer"</formula>
    </cfRule>
    <cfRule type="expression" dxfId="4" priority="10">
      <formula>$J55="Suficiente"</formula>
    </cfRule>
    <cfRule type="expression" dxfId="3" priority="11">
      <formula>$J55="Sin venta"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showGridLines="0" zoomScaleNormal="100" workbookViewId="0">
      <selection activeCell="C11" sqref="C11"/>
    </sheetView>
  </sheetViews>
  <sheetFormatPr baseColWidth="10" defaultColWidth="8.6640625" defaultRowHeight="14.4" x14ac:dyDescent="0.3"/>
  <cols>
    <col min="1" max="1" width="3" style="6" customWidth="1"/>
    <col min="2" max="2" width="36" style="6" customWidth="1"/>
    <col min="3" max="3" width="58" style="6" customWidth="1"/>
    <col min="4" max="4" width="16" style="6" customWidth="1"/>
    <col min="5" max="5" width="4" style="6" customWidth="1"/>
    <col min="6" max="16384" width="8.6640625" style="6"/>
  </cols>
  <sheetData>
    <row r="1" spans="1:4" ht="27.75" customHeight="1" x14ac:dyDescent="0.3">
      <c r="A1" s="89" t="s">
        <v>0</v>
      </c>
      <c r="B1" s="90"/>
      <c r="C1" s="90"/>
      <c r="D1" s="90"/>
    </row>
    <row r="2" spans="1:4" ht="15" customHeight="1" x14ac:dyDescent="0.3">
      <c r="A2" s="91" t="s">
        <v>1</v>
      </c>
      <c r="B2" s="92"/>
      <c r="C2" s="92"/>
      <c r="D2" s="92"/>
    </row>
    <row r="3" spans="1:4" ht="15" thickBot="1" x14ac:dyDescent="0.35"/>
    <row r="4" spans="1:4" ht="109.8" customHeight="1" thickBot="1" x14ac:dyDescent="0.35">
      <c r="B4" s="95" t="s">
        <v>211</v>
      </c>
      <c r="C4" s="96"/>
      <c r="D4" s="97"/>
    </row>
    <row r="6" spans="1:4" ht="15" customHeight="1" x14ac:dyDescent="0.3">
      <c r="B6" s="39" t="s">
        <v>2</v>
      </c>
    </row>
    <row r="7" spans="1:4" ht="15.75" customHeight="1" x14ac:dyDescent="0.3">
      <c r="B7" s="40" t="s">
        <v>3</v>
      </c>
      <c r="C7" s="41" t="s">
        <v>4</v>
      </c>
    </row>
    <row r="8" spans="1:4" ht="15.75" customHeight="1" x14ac:dyDescent="0.3">
      <c r="B8" s="40" t="s">
        <v>5</v>
      </c>
      <c r="C8" s="41" t="s">
        <v>6</v>
      </c>
    </row>
    <row r="9" spans="1:4" ht="15.75" customHeight="1" x14ac:dyDescent="0.3">
      <c r="B9" s="40" t="s">
        <v>7</v>
      </c>
      <c r="C9" s="41" t="s">
        <v>8</v>
      </c>
    </row>
    <row r="10" spans="1:4" ht="15.75" customHeight="1" x14ac:dyDescent="0.3">
      <c r="B10" s="40" t="s">
        <v>9</v>
      </c>
      <c r="C10" s="41" t="s">
        <v>10</v>
      </c>
    </row>
    <row r="11" spans="1:4" ht="15.75" customHeight="1" x14ac:dyDescent="0.3">
      <c r="B11" s="40" t="s">
        <v>11</v>
      </c>
      <c r="C11" s="41" t="s">
        <v>12</v>
      </c>
    </row>
    <row r="14" spans="1:4" ht="15" customHeight="1" x14ac:dyDescent="0.3">
      <c r="B14" s="39" t="s">
        <v>13</v>
      </c>
    </row>
    <row r="15" spans="1:4" ht="15.75" customHeight="1" x14ac:dyDescent="0.3">
      <c r="B15" s="41" t="s">
        <v>14</v>
      </c>
      <c r="C15" s="41" t="s">
        <v>15</v>
      </c>
      <c r="D15" s="117">
        <v>30</v>
      </c>
    </row>
    <row r="16" spans="1:4" ht="15.75" customHeight="1" x14ac:dyDescent="0.3">
      <c r="B16" s="41" t="s">
        <v>16</v>
      </c>
      <c r="C16" s="41" t="s">
        <v>17</v>
      </c>
      <c r="D16" s="117">
        <v>21</v>
      </c>
    </row>
    <row r="17" spans="2:4" ht="15.75" customHeight="1" x14ac:dyDescent="0.3">
      <c r="B17" s="41" t="s">
        <v>18</v>
      </c>
      <c r="C17" s="41" t="s">
        <v>19</v>
      </c>
      <c r="D17" s="117">
        <v>7</v>
      </c>
    </row>
    <row r="18" spans="2:4" ht="15.75" customHeight="1" x14ac:dyDescent="0.3">
      <c r="B18" s="41" t="s">
        <v>20</v>
      </c>
      <c r="C18" s="41" t="s">
        <v>21</v>
      </c>
      <c r="D18" s="118">
        <v>0.28000000000000003</v>
      </c>
    </row>
    <row r="19" spans="2:4" ht="15.75" customHeight="1" x14ac:dyDescent="0.3">
      <c r="B19" s="41" t="s">
        <v>22</v>
      </c>
      <c r="C19" s="41" t="s">
        <v>23</v>
      </c>
      <c r="D19" s="118">
        <v>0.02</v>
      </c>
    </row>
    <row r="22" spans="2:4" ht="15" customHeight="1" x14ac:dyDescent="0.3">
      <c r="B22" s="39" t="s">
        <v>24</v>
      </c>
    </row>
    <row r="23" spans="2:4" ht="15" customHeight="1" x14ac:dyDescent="0.3">
      <c r="B23" s="42" t="s">
        <v>25</v>
      </c>
      <c r="C23" s="41" t="s">
        <v>26</v>
      </c>
    </row>
    <row r="24" spans="2:4" ht="15" customHeight="1" x14ac:dyDescent="0.3">
      <c r="B24" s="43" t="s">
        <v>27</v>
      </c>
      <c r="C24" s="41" t="s">
        <v>28</v>
      </c>
    </row>
    <row r="25" spans="2:4" ht="15" customHeight="1" x14ac:dyDescent="0.3">
      <c r="B25" s="44" t="s">
        <v>29</v>
      </c>
      <c r="C25" s="41" t="s">
        <v>30</v>
      </c>
    </row>
    <row r="27" spans="2:4" ht="15" customHeight="1" x14ac:dyDescent="0.3">
      <c r="B27" s="93" t="s">
        <v>31</v>
      </c>
      <c r="C27" s="94"/>
      <c r="D27" s="94"/>
    </row>
    <row r="28" spans="2:4" ht="15" customHeight="1" x14ac:dyDescent="0.3">
      <c r="B28" s="94"/>
      <c r="C28" s="94"/>
      <c r="D28" s="94"/>
    </row>
    <row r="29" spans="2:4" ht="15" customHeight="1" x14ac:dyDescent="0.3">
      <c r="B29" s="94"/>
      <c r="C29" s="94"/>
      <c r="D29" s="94"/>
    </row>
    <row r="30" spans="2:4" ht="15" customHeight="1" x14ac:dyDescent="0.3">
      <c r="B30" s="94"/>
      <c r="C30" s="94"/>
      <c r="D30" s="94"/>
    </row>
  </sheetData>
  <sheetProtection sheet="1" objects="1" scenarios="1" insertHyperlinks="0" sort="0" autoFilter="0"/>
  <mergeCells count="4">
    <mergeCell ref="A1:D1"/>
    <mergeCell ref="A2:D2"/>
    <mergeCell ref="B27:D30"/>
    <mergeCell ref="B4:D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9" sqref="L9"/>
    </sheetView>
  </sheetViews>
  <sheetFormatPr baseColWidth="10" defaultColWidth="8.6640625" defaultRowHeight="14.4" x14ac:dyDescent="0.3"/>
  <cols>
    <col min="1" max="1" width="9" style="4" customWidth="1"/>
    <col min="2" max="2" width="26" style="4" customWidth="1"/>
    <col min="3" max="3" width="20" style="4" customWidth="1"/>
    <col min="4" max="4" width="24" style="4" customWidth="1"/>
    <col min="5" max="6" width="13" style="4" customWidth="1"/>
    <col min="7" max="7" width="12" style="4" customWidth="1"/>
    <col min="8" max="8" width="10" style="4" customWidth="1"/>
    <col min="9" max="11" width="11" style="4" customWidth="1"/>
    <col min="12" max="12" width="10" style="4" customWidth="1"/>
    <col min="13" max="13" width="12" style="4" customWidth="1"/>
    <col min="14" max="14" width="13" style="4" customWidth="1"/>
    <col min="15" max="15" width="8" style="4" customWidth="1"/>
    <col min="16" max="16384" width="8.6640625" style="4"/>
  </cols>
  <sheetData>
    <row r="1" spans="1:18" ht="27.75" customHeight="1" x14ac:dyDescent="0.3">
      <c r="A1" s="89" t="s">
        <v>111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8" ht="15" customHeight="1" x14ac:dyDescent="0.3">
      <c r="A2" s="98" t="s">
        <v>214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8" ht="15" customHeight="1" x14ac:dyDescent="0.3">
      <c r="A3" s="45"/>
    </row>
    <row r="4" spans="1:18" ht="31.5" customHeight="1" x14ac:dyDescent="0.3">
      <c r="A4" s="46" t="s">
        <v>112</v>
      </c>
      <c r="B4" s="46" t="s">
        <v>84</v>
      </c>
      <c r="C4" s="46" t="s">
        <v>47</v>
      </c>
      <c r="D4" s="46" t="s">
        <v>113</v>
      </c>
      <c r="E4" s="46" t="s">
        <v>114</v>
      </c>
      <c r="F4" s="46" t="s">
        <v>115</v>
      </c>
      <c r="G4" s="46" t="s">
        <v>49</v>
      </c>
      <c r="H4" s="46" t="s">
        <v>50</v>
      </c>
      <c r="I4" s="46" t="s">
        <v>116</v>
      </c>
      <c r="J4" s="46" t="s">
        <v>117</v>
      </c>
      <c r="K4" s="46" t="s">
        <v>85</v>
      </c>
      <c r="L4" s="46" t="s">
        <v>118</v>
      </c>
      <c r="M4" s="46" t="s">
        <v>119</v>
      </c>
      <c r="N4" s="47" t="s">
        <v>120</v>
      </c>
      <c r="O4" s="47" t="s">
        <v>88</v>
      </c>
    </row>
    <row r="5" spans="1:18" ht="15" customHeight="1" x14ac:dyDescent="0.3">
      <c r="A5" s="108" t="s">
        <v>121</v>
      </c>
      <c r="B5" s="108" t="s">
        <v>122</v>
      </c>
      <c r="C5" s="108" t="s">
        <v>53</v>
      </c>
      <c r="D5" s="108" t="s">
        <v>123</v>
      </c>
      <c r="E5" s="109">
        <v>1850</v>
      </c>
      <c r="F5" s="109">
        <v>2600</v>
      </c>
      <c r="G5" s="123">
        <f t="shared" ref="G5:G36" si="0">IF($A5="","",F5-E5)</f>
        <v>750</v>
      </c>
      <c r="H5" s="124">
        <f t="shared" ref="H5:H36" si="1">IF(OR($A5="",F5=0),"",G5/F5)</f>
        <v>0.28846153846153844</v>
      </c>
      <c r="I5" s="110">
        <v>32</v>
      </c>
      <c r="J5" s="125">
        <f>IF($A5="","",SUMIFS(Compras!$D:$D,Compras!$B:$B,$A5))</f>
        <v>34</v>
      </c>
      <c r="K5" s="125">
        <f>IF($A5="","",SUMIFS(Ventas!$D:$D,Ventas!$B:$B,$A5))</f>
        <v>36</v>
      </c>
      <c r="L5" s="125">
        <f>IF($A5="","",SUMIFS(Mermas!$D:$D,Mermas!$B:$B,$A5))</f>
        <v>0</v>
      </c>
      <c r="M5" s="125">
        <f t="shared" ref="M5:M36" si="2">IF($A5="","",N(I5)+J5-K5-L5)</f>
        <v>30</v>
      </c>
      <c r="N5" s="126">
        <f>IF($A5="","",SUMIFS(Ventas!$F:$F,Ventas!$B:$B,$A5))</f>
        <v>93600</v>
      </c>
      <c r="O5" s="129" t="str">
        <f t="shared" ref="O5:O36" si="3">IF($A5="","",IF(N5=0,"C",IF(N5&gt;=$N$126*0.6,"A",IF(N5&gt;=$N$126*0.25,"B","C"))))</f>
        <v>C</v>
      </c>
      <c r="R5" s="49"/>
    </row>
    <row r="6" spans="1:18" ht="15" customHeight="1" x14ac:dyDescent="0.3">
      <c r="A6" s="108" t="s">
        <v>124</v>
      </c>
      <c r="B6" s="108" t="s">
        <v>125</v>
      </c>
      <c r="C6" s="108" t="s">
        <v>53</v>
      </c>
      <c r="D6" s="108" t="s">
        <v>123</v>
      </c>
      <c r="E6" s="109">
        <v>7200</v>
      </c>
      <c r="F6" s="109">
        <v>9500</v>
      </c>
      <c r="G6" s="123">
        <f t="shared" si="0"/>
        <v>2300</v>
      </c>
      <c r="H6" s="124">
        <f t="shared" si="1"/>
        <v>0.24210526315789474</v>
      </c>
      <c r="I6" s="110">
        <v>39</v>
      </c>
      <c r="J6" s="125">
        <f>IF($A6="","",SUMIFS(Compras!$D:$D,Compras!$B:$B,$A6))</f>
        <v>21</v>
      </c>
      <c r="K6" s="125">
        <f>IF($A6="","",SUMIFS(Ventas!$D:$D,Ventas!$B:$B,$A6))</f>
        <v>24</v>
      </c>
      <c r="L6" s="125">
        <f>IF($A6="","",SUMIFS(Mermas!$D:$D,Mermas!$B:$B,$A6))</f>
        <v>0</v>
      </c>
      <c r="M6" s="125">
        <f t="shared" si="2"/>
        <v>36</v>
      </c>
      <c r="N6" s="126">
        <f>IF($A6="","",SUMIFS(Ventas!$F:$F,Ventas!$B:$B,$A6))</f>
        <v>228000</v>
      </c>
      <c r="O6" s="129" t="str">
        <f t="shared" si="3"/>
        <v>B</v>
      </c>
    </row>
    <row r="7" spans="1:18" ht="15" customHeight="1" x14ac:dyDescent="0.3">
      <c r="A7" s="108" t="s">
        <v>126</v>
      </c>
      <c r="B7" s="108" t="s">
        <v>127</v>
      </c>
      <c r="C7" s="108" t="s">
        <v>53</v>
      </c>
      <c r="D7" s="108" t="s">
        <v>128</v>
      </c>
      <c r="E7" s="109">
        <v>2100</v>
      </c>
      <c r="F7" s="109">
        <v>2900</v>
      </c>
      <c r="G7" s="123">
        <f t="shared" si="0"/>
        <v>800</v>
      </c>
      <c r="H7" s="124">
        <f t="shared" si="1"/>
        <v>0.27586206896551724</v>
      </c>
      <c r="I7" s="110">
        <v>43</v>
      </c>
      <c r="J7" s="125">
        <f>IF($A7="","",SUMIFS(Compras!$D:$D,Compras!$B:$B,$A7))</f>
        <v>30</v>
      </c>
      <c r="K7" s="125">
        <f>IF($A7="","",SUMIFS(Ventas!$D:$D,Ventas!$B:$B,$A7))</f>
        <v>31</v>
      </c>
      <c r="L7" s="125">
        <f>IF($A7="","",SUMIFS(Mermas!$D:$D,Mermas!$B:$B,$A7))</f>
        <v>0</v>
      </c>
      <c r="M7" s="125">
        <f t="shared" si="2"/>
        <v>42</v>
      </c>
      <c r="N7" s="126">
        <f>IF($A7="","",SUMIFS(Ventas!$F:$F,Ventas!$B:$B,$A7))</f>
        <v>89900</v>
      </c>
      <c r="O7" s="129" t="str">
        <f t="shared" si="3"/>
        <v>C</v>
      </c>
    </row>
    <row r="8" spans="1:18" ht="15" customHeight="1" x14ac:dyDescent="0.3">
      <c r="A8" s="108" t="s">
        <v>129</v>
      </c>
      <c r="B8" s="108" t="s">
        <v>130</v>
      </c>
      <c r="C8" s="108" t="s">
        <v>55</v>
      </c>
      <c r="D8" s="108" t="s">
        <v>131</v>
      </c>
      <c r="E8" s="109">
        <v>3100</v>
      </c>
      <c r="F8" s="109">
        <v>3900</v>
      </c>
      <c r="G8" s="123">
        <f t="shared" si="0"/>
        <v>800</v>
      </c>
      <c r="H8" s="124">
        <f t="shared" si="1"/>
        <v>0.20512820512820512</v>
      </c>
      <c r="I8" s="110">
        <v>30</v>
      </c>
      <c r="J8" s="125">
        <f>IF($A8="","",SUMIFS(Compras!$D:$D,Compras!$B:$B,$A8))</f>
        <v>41</v>
      </c>
      <c r="K8" s="125">
        <f>IF($A8="","",SUMIFS(Ventas!$D:$D,Ventas!$B:$B,$A8))</f>
        <v>41</v>
      </c>
      <c r="L8" s="125">
        <f>IF($A8="","",SUMIFS(Mermas!$D:$D,Mermas!$B:$B,$A8))</f>
        <v>4</v>
      </c>
      <c r="M8" s="125">
        <f t="shared" si="2"/>
        <v>26</v>
      </c>
      <c r="N8" s="126">
        <f>IF($A8="","",SUMIFS(Ventas!$F:$F,Ventas!$B:$B,$A8))</f>
        <v>159900</v>
      </c>
      <c r="O8" s="129" t="str">
        <f t="shared" si="3"/>
        <v>B</v>
      </c>
    </row>
    <row r="9" spans="1:18" ht="15" customHeight="1" x14ac:dyDescent="0.3">
      <c r="A9" s="108" t="s">
        <v>132</v>
      </c>
      <c r="B9" s="108" t="s">
        <v>133</v>
      </c>
      <c r="C9" s="108" t="s">
        <v>55</v>
      </c>
      <c r="D9" s="108" t="s">
        <v>131</v>
      </c>
      <c r="E9" s="109">
        <v>9800</v>
      </c>
      <c r="F9" s="109">
        <v>13500</v>
      </c>
      <c r="G9" s="123">
        <f t="shared" si="0"/>
        <v>3700</v>
      </c>
      <c r="H9" s="124">
        <f t="shared" si="1"/>
        <v>0.27407407407407408</v>
      </c>
      <c r="I9" s="110">
        <v>39</v>
      </c>
      <c r="J9" s="125">
        <f>IF($A9="","",SUMIFS(Compras!$D:$D,Compras!$B:$B,$A9))</f>
        <v>24</v>
      </c>
      <c r="K9" s="125">
        <f>IF($A9="","",SUMIFS(Ventas!$D:$D,Ventas!$B:$B,$A9))</f>
        <v>24</v>
      </c>
      <c r="L9" s="125">
        <f>IF($A9="","",SUMIFS(Mermas!$D:$D,Mermas!$B:$B,$A9))</f>
        <v>0</v>
      </c>
      <c r="M9" s="125">
        <f t="shared" si="2"/>
        <v>39</v>
      </c>
      <c r="N9" s="126">
        <f>IF($A9="","",SUMIFS(Ventas!$F:$F,Ventas!$B:$B,$A9))</f>
        <v>324000</v>
      </c>
      <c r="O9" s="129" t="str">
        <f t="shared" si="3"/>
        <v>A</v>
      </c>
    </row>
    <row r="10" spans="1:18" ht="15" customHeight="1" x14ac:dyDescent="0.3">
      <c r="A10" s="108" t="s">
        <v>134</v>
      </c>
      <c r="B10" s="108" t="s">
        <v>135</v>
      </c>
      <c r="C10" s="108" t="s">
        <v>55</v>
      </c>
      <c r="D10" s="108" t="s">
        <v>131</v>
      </c>
      <c r="E10" s="109">
        <v>5400</v>
      </c>
      <c r="F10" s="109">
        <v>7200</v>
      </c>
      <c r="G10" s="123">
        <f t="shared" si="0"/>
        <v>1800</v>
      </c>
      <c r="H10" s="124">
        <f t="shared" si="1"/>
        <v>0.25</v>
      </c>
      <c r="I10" s="110">
        <v>39</v>
      </c>
      <c r="J10" s="125">
        <f>IF($A10="","",SUMIFS(Compras!$D:$D,Compras!$B:$B,$A10))</f>
        <v>16</v>
      </c>
      <c r="K10" s="125">
        <f>IF($A10="","",SUMIFS(Ventas!$D:$D,Ventas!$B:$B,$A10))</f>
        <v>18</v>
      </c>
      <c r="L10" s="125">
        <f>IF($A10="","",SUMIFS(Mermas!$D:$D,Mermas!$B:$B,$A10))</f>
        <v>0</v>
      </c>
      <c r="M10" s="125">
        <f t="shared" si="2"/>
        <v>37</v>
      </c>
      <c r="N10" s="126">
        <f>IF($A10="","",SUMIFS(Ventas!$F:$F,Ventas!$B:$B,$A10))</f>
        <v>129600</v>
      </c>
      <c r="O10" s="129" t="str">
        <f t="shared" si="3"/>
        <v>B</v>
      </c>
    </row>
    <row r="11" spans="1:18" ht="15" customHeight="1" x14ac:dyDescent="0.3">
      <c r="A11" s="108" t="s">
        <v>136</v>
      </c>
      <c r="B11" s="108" t="s">
        <v>137</v>
      </c>
      <c r="C11" s="108" t="s">
        <v>57</v>
      </c>
      <c r="D11" s="108" t="s">
        <v>138</v>
      </c>
      <c r="E11" s="109">
        <v>3400</v>
      </c>
      <c r="F11" s="109">
        <v>4500</v>
      </c>
      <c r="G11" s="123">
        <f t="shared" si="0"/>
        <v>1100</v>
      </c>
      <c r="H11" s="124">
        <f t="shared" si="1"/>
        <v>0.24444444444444444</v>
      </c>
      <c r="I11" s="110">
        <v>15</v>
      </c>
      <c r="J11" s="125">
        <f>IF($A11="","",SUMIFS(Compras!$D:$D,Compras!$B:$B,$A11))</f>
        <v>45</v>
      </c>
      <c r="K11" s="125">
        <f>IF($A11="","",SUMIFS(Ventas!$D:$D,Ventas!$B:$B,$A11))</f>
        <v>44</v>
      </c>
      <c r="L11" s="125">
        <f>IF($A11="","",SUMIFS(Mermas!$D:$D,Mermas!$B:$B,$A11))</f>
        <v>1</v>
      </c>
      <c r="M11" s="125">
        <f t="shared" si="2"/>
        <v>15</v>
      </c>
      <c r="N11" s="126">
        <f>IF($A11="","",SUMIFS(Ventas!$F:$F,Ventas!$B:$B,$A11))</f>
        <v>198000</v>
      </c>
      <c r="O11" s="129" t="str">
        <f t="shared" si="3"/>
        <v>B</v>
      </c>
    </row>
    <row r="12" spans="1:18" ht="15" customHeight="1" x14ac:dyDescent="0.3">
      <c r="A12" s="108" t="s">
        <v>139</v>
      </c>
      <c r="B12" s="108" t="s">
        <v>140</v>
      </c>
      <c r="C12" s="108" t="s">
        <v>57</v>
      </c>
      <c r="D12" s="108" t="s">
        <v>138</v>
      </c>
      <c r="E12" s="109">
        <v>1200</v>
      </c>
      <c r="F12" s="109">
        <v>1800</v>
      </c>
      <c r="G12" s="123">
        <f t="shared" si="0"/>
        <v>600</v>
      </c>
      <c r="H12" s="124">
        <f t="shared" si="1"/>
        <v>0.33333333333333331</v>
      </c>
      <c r="I12" s="110">
        <v>20</v>
      </c>
      <c r="J12" s="125">
        <f>IF($A12="","",SUMIFS(Compras!$D:$D,Compras!$B:$B,$A12))</f>
        <v>42</v>
      </c>
      <c r="K12" s="125">
        <f>IF($A12="","",SUMIFS(Ventas!$D:$D,Ventas!$B:$B,$A12))</f>
        <v>49</v>
      </c>
      <c r="L12" s="125">
        <f>IF($A12="","",SUMIFS(Mermas!$D:$D,Mermas!$B:$B,$A12))</f>
        <v>3</v>
      </c>
      <c r="M12" s="125">
        <f t="shared" si="2"/>
        <v>10</v>
      </c>
      <c r="N12" s="126">
        <f>IF($A12="","",SUMIFS(Ventas!$F:$F,Ventas!$B:$B,$A12))</f>
        <v>88200</v>
      </c>
      <c r="O12" s="129" t="str">
        <f t="shared" si="3"/>
        <v>C</v>
      </c>
    </row>
    <row r="13" spans="1:18" ht="15" customHeight="1" x14ac:dyDescent="0.3">
      <c r="A13" s="108" t="s">
        <v>141</v>
      </c>
      <c r="B13" s="108" t="s">
        <v>142</v>
      </c>
      <c r="C13" s="108" t="s">
        <v>57</v>
      </c>
      <c r="D13" s="108" t="s">
        <v>138</v>
      </c>
      <c r="E13" s="109">
        <v>2600</v>
      </c>
      <c r="F13" s="109">
        <v>3800</v>
      </c>
      <c r="G13" s="123">
        <f t="shared" si="0"/>
        <v>1200</v>
      </c>
      <c r="H13" s="124">
        <f t="shared" si="1"/>
        <v>0.31578947368421051</v>
      </c>
      <c r="I13" s="110">
        <v>7</v>
      </c>
      <c r="J13" s="125">
        <f>IF($A13="","",SUMIFS(Compras!$D:$D,Compras!$B:$B,$A13))</f>
        <v>53</v>
      </c>
      <c r="K13" s="125">
        <f>IF($A13="","",SUMIFS(Ventas!$D:$D,Ventas!$B:$B,$A13))</f>
        <v>50</v>
      </c>
      <c r="L13" s="125">
        <f>IF($A13="","",SUMIFS(Mermas!$D:$D,Mermas!$B:$B,$A13))</f>
        <v>0</v>
      </c>
      <c r="M13" s="125">
        <f t="shared" si="2"/>
        <v>10</v>
      </c>
      <c r="N13" s="126">
        <f>IF($A13="","",SUMIFS(Ventas!$F:$F,Ventas!$B:$B,$A13))</f>
        <v>190000</v>
      </c>
      <c r="O13" s="129" t="str">
        <f t="shared" si="3"/>
        <v>B</v>
      </c>
    </row>
    <row r="14" spans="1:18" ht="15" customHeight="1" x14ac:dyDescent="0.3">
      <c r="A14" s="108" t="s">
        <v>143</v>
      </c>
      <c r="B14" s="108" t="s">
        <v>144</v>
      </c>
      <c r="C14" s="108" t="s">
        <v>59</v>
      </c>
      <c r="D14" s="108" t="s">
        <v>145</v>
      </c>
      <c r="E14" s="109">
        <v>3900</v>
      </c>
      <c r="F14" s="109">
        <v>5200</v>
      </c>
      <c r="G14" s="123">
        <f t="shared" si="0"/>
        <v>1300</v>
      </c>
      <c r="H14" s="124">
        <f t="shared" si="1"/>
        <v>0.25</v>
      </c>
      <c r="I14" s="110">
        <v>21</v>
      </c>
      <c r="J14" s="125">
        <f>IF($A14="","",SUMIFS(Compras!$D:$D,Compras!$B:$B,$A14))</f>
        <v>43</v>
      </c>
      <c r="K14" s="125">
        <f>IF($A14="","",SUMIFS(Ventas!$D:$D,Ventas!$B:$B,$A14))</f>
        <v>42</v>
      </c>
      <c r="L14" s="125">
        <f>IF($A14="","",SUMIFS(Mermas!$D:$D,Mermas!$B:$B,$A14))</f>
        <v>0</v>
      </c>
      <c r="M14" s="125">
        <f t="shared" si="2"/>
        <v>22</v>
      </c>
      <c r="N14" s="126">
        <f>IF($A14="","",SUMIFS(Ventas!$F:$F,Ventas!$B:$B,$A14))</f>
        <v>218400</v>
      </c>
      <c r="O14" s="129" t="str">
        <f t="shared" si="3"/>
        <v>B</v>
      </c>
    </row>
    <row r="15" spans="1:18" ht="15" customHeight="1" x14ac:dyDescent="0.3">
      <c r="A15" s="108" t="s">
        <v>146</v>
      </c>
      <c r="B15" s="108" t="s">
        <v>147</v>
      </c>
      <c r="C15" s="108" t="s">
        <v>61</v>
      </c>
      <c r="D15" s="108" t="s">
        <v>148</v>
      </c>
      <c r="E15" s="109">
        <v>1800</v>
      </c>
      <c r="F15" s="109">
        <v>2700</v>
      </c>
      <c r="G15" s="123">
        <f t="shared" si="0"/>
        <v>900</v>
      </c>
      <c r="H15" s="124">
        <f t="shared" si="1"/>
        <v>0.33333333333333331</v>
      </c>
      <c r="I15" s="110">
        <v>4</v>
      </c>
      <c r="J15" s="125">
        <f>IF($A15="","",SUMIFS(Compras!$D:$D,Compras!$B:$B,$A15))</f>
        <v>61</v>
      </c>
      <c r="K15" s="125">
        <f>IF($A15="","",SUMIFS(Ventas!$D:$D,Ventas!$B:$B,$A15))</f>
        <v>56</v>
      </c>
      <c r="L15" s="125">
        <f>IF($A15="","",SUMIFS(Mermas!$D:$D,Mermas!$B:$B,$A15))</f>
        <v>0</v>
      </c>
      <c r="M15" s="125">
        <f t="shared" si="2"/>
        <v>9</v>
      </c>
      <c r="N15" s="126">
        <f>IF($A15="","",SUMIFS(Ventas!$F:$F,Ventas!$B:$B,$A15))</f>
        <v>151200</v>
      </c>
      <c r="O15" s="129" t="str">
        <f t="shared" si="3"/>
        <v>B</v>
      </c>
    </row>
    <row r="16" spans="1:18" ht="15" customHeight="1" x14ac:dyDescent="0.3">
      <c r="A16" s="108" t="s">
        <v>149</v>
      </c>
      <c r="B16" s="108" t="s">
        <v>150</v>
      </c>
      <c r="C16" s="108" t="s">
        <v>61</v>
      </c>
      <c r="D16" s="108" t="s">
        <v>148</v>
      </c>
      <c r="E16" s="109">
        <v>3200</v>
      </c>
      <c r="F16" s="109">
        <v>4800</v>
      </c>
      <c r="G16" s="123">
        <f t="shared" si="0"/>
        <v>1600</v>
      </c>
      <c r="H16" s="124">
        <f t="shared" si="1"/>
        <v>0.33333333333333331</v>
      </c>
      <c r="I16" s="110">
        <v>42</v>
      </c>
      <c r="J16" s="125">
        <f>IF($A16="","",SUMIFS(Compras!$D:$D,Compras!$B:$B,$A16))</f>
        <v>32</v>
      </c>
      <c r="K16" s="125">
        <f>IF($A16="","",SUMIFS(Ventas!$D:$D,Ventas!$B:$B,$A16))</f>
        <v>33</v>
      </c>
      <c r="L16" s="125">
        <f>IF($A16="","",SUMIFS(Mermas!$D:$D,Mermas!$B:$B,$A16))</f>
        <v>0</v>
      </c>
      <c r="M16" s="125">
        <f t="shared" si="2"/>
        <v>41</v>
      </c>
      <c r="N16" s="126">
        <f>IF($A16="","",SUMIFS(Ventas!$F:$F,Ventas!$B:$B,$A16))</f>
        <v>158400</v>
      </c>
      <c r="O16" s="129" t="str">
        <f t="shared" si="3"/>
        <v>B</v>
      </c>
    </row>
    <row r="17" spans="1:15" ht="15" customHeight="1" x14ac:dyDescent="0.3">
      <c r="A17" s="108" t="s">
        <v>151</v>
      </c>
      <c r="B17" s="108" t="s">
        <v>152</v>
      </c>
      <c r="C17" s="108" t="s">
        <v>63</v>
      </c>
      <c r="D17" s="108" t="s">
        <v>153</v>
      </c>
      <c r="E17" s="109">
        <v>6800</v>
      </c>
      <c r="F17" s="109">
        <v>9200</v>
      </c>
      <c r="G17" s="123">
        <f t="shared" si="0"/>
        <v>2400</v>
      </c>
      <c r="H17" s="124">
        <f t="shared" si="1"/>
        <v>0.2608695652173913</v>
      </c>
      <c r="I17" s="110">
        <v>38</v>
      </c>
      <c r="J17" s="125">
        <f>IF($A17="","",SUMIFS(Compras!$D:$D,Compras!$B:$B,$A17))</f>
        <v>19</v>
      </c>
      <c r="K17" s="125">
        <f>IF($A17="","",SUMIFS(Ventas!$D:$D,Ventas!$B:$B,$A17))</f>
        <v>18</v>
      </c>
      <c r="L17" s="125">
        <f>IF($A17="","",SUMIFS(Mermas!$D:$D,Mermas!$B:$B,$A17))</f>
        <v>0</v>
      </c>
      <c r="M17" s="125">
        <f t="shared" si="2"/>
        <v>39</v>
      </c>
      <c r="N17" s="126">
        <f>IF($A17="","",SUMIFS(Ventas!$F:$F,Ventas!$B:$B,$A17))</f>
        <v>165600</v>
      </c>
      <c r="O17" s="129" t="str">
        <f t="shared" si="3"/>
        <v>B</v>
      </c>
    </row>
    <row r="18" spans="1:15" ht="15" customHeight="1" x14ac:dyDescent="0.3">
      <c r="A18" s="108" t="s">
        <v>154</v>
      </c>
      <c r="B18" s="108" t="s">
        <v>155</v>
      </c>
      <c r="C18" s="108" t="s">
        <v>65</v>
      </c>
      <c r="D18" s="108" t="s">
        <v>153</v>
      </c>
      <c r="E18" s="109">
        <v>1900</v>
      </c>
      <c r="F18" s="109">
        <v>2800</v>
      </c>
      <c r="G18" s="123">
        <f t="shared" si="0"/>
        <v>900</v>
      </c>
      <c r="H18" s="124">
        <f t="shared" si="1"/>
        <v>0.32142857142857145</v>
      </c>
      <c r="I18" s="110">
        <v>33</v>
      </c>
      <c r="J18" s="125">
        <f>IF($A18="","",SUMIFS(Compras!$D:$D,Compras!$B:$B,$A18))</f>
        <v>13</v>
      </c>
      <c r="K18" s="125">
        <f>IF($A18="","",SUMIFS(Ventas!$D:$D,Ventas!$B:$B,$A18))</f>
        <v>14</v>
      </c>
      <c r="L18" s="125">
        <f>IF($A18="","",SUMIFS(Mermas!$D:$D,Mermas!$B:$B,$A18))</f>
        <v>0</v>
      </c>
      <c r="M18" s="125">
        <f t="shared" si="2"/>
        <v>32</v>
      </c>
      <c r="N18" s="126">
        <f>IF($A18="","",SUMIFS(Ventas!$F:$F,Ventas!$B:$B,$A18))</f>
        <v>39200</v>
      </c>
      <c r="O18" s="129" t="str">
        <f t="shared" si="3"/>
        <v>C</v>
      </c>
    </row>
    <row r="19" spans="1:15" ht="15" customHeight="1" x14ac:dyDescent="0.3">
      <c r="A19" s="108" t="s">
        <v>156</v>
      </c>
      <c r="B19" s="108" t="s">
        <v>157</v>
      </c>
      <c r="C19" s="108" t="s">
        <v>63</v>
      </c>
      <c r="D19" s="108" t="s">
        <v>153</v>
      </c>
      <c r="E19" s="109">
        <v>5600</v>
      </c>
      <c r="F19" s="109">
        <v>7800</v>
      </c>
      <c r="G19" s="123">
        <f t="shared" si="0"/>
        <v>2200</v>
      </c>
      <c r="H19" s="124">
        <f t="shared" si="1"/>
        <v>0.28205128205128205</v>
      </c>
      <c r="I19" s="110">
        <v>39</v>
      </c>
      <c r="J19" s="125">
        <f>IF($A19="","",SUMIFS(Compras!$D:$D,Compras!$B:$B,$A19))</f>
        <v>19</v>
      </c>
      <c r="K19" s="125">
        <f>IF($A19="","",SUMIFS(Ventas!$D:$D,Ventas!$B:$B,$A19))</f>
        <v>20</v>
      </c>
      <c r="L19" s="125">
        <f>IF($A19="","",SUMIFS(Mermas!$D:$D,Mermas!$B:$B,$A19))</f>
        <v>0</v>
      </c>
      <c r="M19" s="125">
        <f t="shared" si="2"/>
        <v>38</v>
      </c>
      <c r="N19" s="126">
        <f>IF($A19="","",SUMIFS(Ventas!$F:$F,Ventas!$B:$B,$A19))</f>
        <v>156000</v>
      </c>
      <c r="O19" s="129" t="str">
        <f t="shared" si="3"/>
        <v>B</v>
      </c>
    </row>
    <row r="20" spans="1:15" ht="15" customHeight="1" x14ac:dyDescent="0.3">
      <c r="A20" s="108" t="s">
        <v>158</v>
      </c>
      <c r="B20" s="108" t="s">
        <v>159</v>
      </c>
      <c r="C20" s="108" t="s">
        <v>67</v>
      </c>
      <c r="D20" s="108" t="s">
        <v>160</v>
      </c>
      <c r="E20" s="109">
        <v>9200</v>
      </c>
      <c r="F20" s="109">
        <v>12000</v>
      </c>
      <c r="G20" s="123">
        <f t="shared" si="0"/>
        <v>2800</v>
      </c>
      <c r="H20" s="124">
        <f t="shared" si="1"/>
        <v>0.23333333333333334</v>
      </c>
      <c r="I20" s="110">
        <v>42</v>
      </c>
      <c r="J20" s="125">
        <f>IF($A20="","",SUMIFS(Compras!$D:$D,Compras!$B:$B,$A20))</f>
        <v>33</v>
      </c>
      <c r="K20" s="125">
        <f>IF($A20="","",SUMIFS(Ventas!$D:$D,Ventas!$B:$B,$A20))</f>
        <v>34</v>
      </c>
      <c r="L20" s="125">
        <f>IF($A20="","",SUMIFS(Mermas!$D:$D,Mermas!$B:$B,$A20))</f>
        <v>4</v>
      </c>
      <c r="M20" s="125">
        <f t="shared" si="2"/>
        <v>37</v>
      </c>
      <c r="N20" s="126">
        <f>IF($A20="","",SUMIFS(Ventas!$F:$F,Ventas!$B:$B,$A20))</f>
        <v>408000</v>
      </c>
      <c r="O20" s="129" t="str">
        <f t="shared" si="3"/>
        <v>A</v>
      </c>
    </row>
    <row r="21" spans="1:15" ht="15" customHeight="1" x14ac:dyDescent="0.3">
      <c r="A21" s="108" t="s">
        <v>161</v>
      </c>
      <c r="B21" s="108" t="s">
        <v>162</v>
      </c>
      <c r="C21" s="108" t="s">
        <v>67</v>
      </c>
      <c r="D21" s="108" t="s">
        <v>160</v>
      </c>
      <c r="E21" s="109">
        <v>11500</v>
      </c>
      <c r="F21" s="109">
        <v>14800</v>
      </c>
      <c r="G21" s="123">
        <f t="shared" si="0"/>
        <v>3300</v>
      </c>
      <c r="H21" s="124">
        <f t="shared" si="1"/>
        <v>0.22297297297297297</v>
      </c>
      <c r="I21" s="110">
        <v>37</v>
      </c>
      <c r="J21" s="125">
        <f>IF($A21="","",SUMIFS(Compras!$D:$D,Compras!$B:$B,$A21))</f>
        <v>21</v>
      </c>
      <c r="K21" s="125">
        <f>IF($A21="","",SUMIFS(Ventas!$D:$D,Ventas!$B:$B,$A21))</f>
        <v>21</v>
      </c>
      <c r="L21" s="125">
        <f>IF($A21="","",SUMIFS(Mermas!$D:$D,Mermas!$B:$B,$A21))</f>
        <v>0</v>
      </c>
      <c r="M21" s="125">
        <f t="shared" si="2"/>
        <v>37</v>
      </c>
      <c r="N21" s="126">
        <f>IF($A21="","",SUMIFS(Ventas!$F:$F,Ventas!$B:$B,$A21))</f>
        <v>310800</v>
      </c>
      <c r="O21" s="129" t="str">
        <f t="shared" si="3"/>
        <v>A</v>
      </c>
    </row>
    <row r="22" spans="1:15" ht="15" customHeight="1" x14ac:dyDescent="0.3">
      <c r="A22" s="108" t="s">
        <v>163</v>
      </c>
      <c r="B22" s="108" t="s">
        <v>164</v>
      </c>
      <c r="C22" s="108" t="s">
        <v>69</v>
      </c>
      <c r="D22" s="108" t="s">
        <v>165</v>
      </c>
      <c r="E22" s="109">
        <v>2800</v>
      </c>
      <c r="F22" s="109">
        <v>4200</v>
      </c>
      <c r="G22" s="123">
        <f t="shared" si="0"/>
        <v>1400</v>
      </c>
      <c r="H22" s="124">
        <f t="shared" si="1"/>
        <v>0.33333333333333331</v>
      </c>
      <c r="I22" s="110">
        <v>39</v>
      </c>
      <c r="J22" s="125">
        <f>IF($A22="","",SUMIFS(Compras!$D:$D,Compras!$B:$B,$A22))</f>
        <v>31</v>
      </c>
      <c r="K22" s="125">
        <f>IF($A22="","",SUMIFS(Ventas!$D:$D,Ventas!$B:$B,$A22))</f>
        <v>35</v>
      </c>
      <c r="L22" s="125">
        <f>IF($A22="","",SUMIFS(Mermas!$D:$D,Mermas!$B:$B,$A22))</f>
        <v>1</v>
      </c>
      <c r="M22" s="125">
        <f t="shared" si="2"/>
        <v>34</v>
      </c>
      <c r="N22" s="126">
        <f>IF($A22="","",SUMIFS(Ventas!$F:$F,Ventas!$B:$B,$A22))</f>
        <v>147000</v>
      </c>
      <c r="O22" s="129" t="str">
        <f t="shared" si="3"/>
        <v>B</v>
      </c>
    </row>
    <row r="23" spans="1:15" ht="15" customHeight="1" x14ac:dyDescent="0.3">
      <c r="A23" s="108" t="s">
        <v>166</v>
      </c>
      <c r="B23" s="108" t="s">
        <v>167</v>
      </c>
      <c r="C23" s="108" t="s">
        <v>69</v>
      </c>
      <c r="D23" s="108" t="s">
        <v>165</v>
      </c>
      <c r="E23" s="109">
        <v>1900</v>
      </c>
      <c r="F23" s="109">
        <v>2800</v>
      </c>
      <c r="G23" s="123">
        <f t="shared" si="0"/>
        <v>900</v>
      </c>
      <c r="H23" s="124">
        <f t="shared" si="1"/>
        <v>0.32142857142857145</v>
      </c>
      <c r="I23" s="110">
        <v>16</v>
      </c>
      <c r="J23" s="125">
        <f>IF($A23="","",SUMIFS(Compras!$D:$D,Compras!$B:$B,$A23))</f>
        <v>46</v>
      </c>
      <c r="K23" s="125">
        <f>IF($A23="","",SUMIFS(Ventas!$D:$D,Ventas!$B:$B,$A23))</f>
        <v>43</v>
      </c>
      <c r="L23" s="125">
        <f>IF($A23="","",SUMIFS(Mermas!$D:$D,Mermas!$B:$B,$A23))</f>
        <v>0</v>
      </c>
      <c r="M23" s="125">
        <f t="shared" si="2"/>
        <v>19</v>
      </c>
      <c r="N23" s="126">
        <f>IF($A23="","",SUMIFS(Ventas!$F:$F,Ventas!$B:$B,$A23))</f>
        <v>120400</v>
      </c>
      <c r="O23" s="129" t="str">
        <f t="shared" si="3"/>
        <v>B</v>
      </c>
    </row>
    <row r="24" spans="1:15" ht="15" customHeight="1" x14ac:dyDescent="0.3">
      <c r="A24" s="108" t="s">
        <v>168</v>
      </c>
      <c r="B24" s="108" t="s">
        <v>169</v>
      </c>
      <c r="C24" s="108" t="s">
        <v>69</v>
      </c>
      <c r="D24" s="108" t="s">
        <v>165</v>
      </c>
      <c r="E24" s="109">
        <v>2200</v>
      </c>
      <c r="F24" s="109">
        <v>3400</v>
      </c>
      <c r="G24" s="123">
        <f t="shared" si="0"/>
        <v>1200</v>
      </c>
      <c r="H24" s="124">
        <f t="shared" si="1"/>
        <v>0.35294117647058826</v>
      </c>
      <c r="I24" s="110">
        <v>24</v>
      </c>
      <c r="J24" s="125">
        <f>IF($A24="","",SUMIFS(Compras!$D:$D,Compras!$B:$B,$A24))</f>
        <v>39</v>
      </c>
      <c r="K24" s="125">
        <f>IF($A24="","",SUMIFS(Ventas!$D:$D,Ventas!$B:$B,$A24))</f>
        <v>37</v>
      </c>
      <c r="L24" s="125">
        <f>IF($A24="","",SUMIFS(Mermas!$D:$D,Mermas!$B:$B,$A24))</f>
        <v>1</v>
      </c>
      <c r="M24" s="125">
        <f t="shared" si="2"/>
        <v>25</v>
      </c>
      <c r="N24" s="126">
        <f>IF($A24="","",SUMIFS(Ventas!$F:$F,Ventas!$B:$B,$A24))</f>
        <v>125800</v>
      </c>
      <c r="O24" s="129" t="str">
        <f t="shared" si="3"/>
        <v>B</v>
      </c>
    </row>
    <row r="25" spans="1:15" ht="15" customHeight="1" x14ac:dyDescent="0.3">
      <c r="A25" s="108"/>
      <c r="B25" s="108"/>
      <c r="C25" s="108"/>
      <c r="D25" s="108"/>
      <c r="E25" s="109"/>
      <c r="F25" s="109"/>
      <c r="G25" s="123" t="str">
        <f t="shared" si="0"/>
        <v/>
      </c>
      <c r="H25" s="124" t="str">
        <f t="shared" si="1"/>
        <v/>
      </c>
      <c r="I25" s="110"/>
      <c r="J25" s="125" t="str">
        <f>IF($A25="","",SUMIFS(Compras!$D:$D,Compras!$B:$B,$A25))</f>
        <v/>
      </c>
      <c r="K25" s="125" t="str">
        <f>IF($A25="","",SUMIFS(Ventas!$D:$D,Ventas!$B:$B,$A25))</f>
        <v/>
      </c>
      <c r="L25" s="125" t="str">
        <f>IF($A25="","",SUMIFS(Mermas!$D:$D,Mermas!$B:$B,$A25))</f>
        <v/>
      </c>
      <c r="M25" s="125" t="str">
        <f t="shared" si="2"/>
        <v/>
      </c>
      <c r="N25" s="126" t="str">
        <f>IF($A25="","",SUMIFS(Ventas!$F:$F,Ventas!$B:$B,$A25))</f>
        <v/>
      </c>
      <c r="O25" s="129" t="str">
        <f t="shared" si="3"/>
        <v/>
      </c>
    </row>
    <row r="26" spans="1:15" ht="15" customHeight="1" x14ac:dyDescent="0.3">
      <c r="A26" s="108"/>
      <c r="B26" s="108"/>
      <c r="C26" s="108"/>
      <c r="D26" s="108"/>
      <c r="E26" s="109"/>
      <c r="F26" s="109"/>
      <c r="G26" s="123" t="str">
        <f t="shared" si="0"/>
        <v/>
      </c>
      <c r="H26" s="124" t="str">
        <f t="shared" si="1"/>
        <v/>
      </c>
      <c r="I26" s="110"/>
      <c r="J26" s="125" t="str">
        <f>IF($A26="","",SUMIFS(Compras!$D:$D,Compras!$B:$B,$A26))</f>
        <v/>
      </c>
      <c r="K26" s="125" t="str">
        <f>IF($A26="","",SUMIFS(Ventas!$D:$D,Ventas!$B:$B,$A26))</f>
        <v/>
      </c>
      <c r="L26" s="125" t="str">
        <f>IF($A26="","",SUMIFS(Mermas!$D:$D,Mermas!$B:$B,$A26))</f>
        <v/>
      </c>
      <c r="M26" s="125" t="str">
        <f t="shared" si="2"/>
        <v/>
      </c>
      <c r="N26" s="126" t="str">
        <f>IF($A26="","",SUMIFS(Ventas!$F:$F,Ventas!$B:$B,$A26))</f>
        <v/>
      </c>
      <c r="O26" s="129" t="str">
        <f t="shared" si="3"/>
        <v/>
      </c>
    </row>
    <row r="27" spans="1:15" ht="15" customHeight="1" x14ac:dyDescent="0.3">
      <c r="A27" s="108"/>
      <c r="B27" s="108"/>
      <c r="C27" s="108"/>
      <c r="D27" s="108"/>
      <c r="E27" s="109"/>
      <c r="F27" s="109"/>
      <c r="G27" s="123" t="str">
        <f t="shared" si="0"/>
        <v/>
      </c>
      <c r="H27" s="124" t="str">
        <f t="shared" si="1"/>
        <v/>
      </c>
      <c r="I27" s="110"/>
      <c r="J27" s="125" t="str">
        <f>IF($A27="","",SUMIFS(Compras!$D:$D,Compras!$B:$B,$A27))</f>
        <v/>
      </c>
      <c r="K27" s="125" t="str">
        <f>IF($A27="","",SUMIFS(Ventas!$D:$D,Ventas!$B:$B,$A27))</f>
        <v/>
      </c>
      <c r="L27" s="125" t="str">
        <f>IF($A27="","",SUMIFS(Mermas!$D:$D,Mermas!$B:$B,$A27))</f>
        <v/>
      </c>
      <c r="M27" s="125" t="str">
        <f t="shared" si="2"/>
        <v/>
      </c>
      <c r="N27" s="126" t="str">
        <f>IF($A27="","",SUMIFS(Ventas!$F:$F,Ventas!$B:$B,$A27))</f>
        <v/>
      </c>
      <c r="O27" s="129" t="str">
        <f t="shared" si="3"/>
        <v/>
      </c>
    </row>
    <row r="28" spans="1:15" ht="15" customHeight="1" x14ac:dyDescent="0.3">
      <c r="A28" s="108"/>
      <c r="B28" s="108"/>
      <c r="C28" s="108"/>
      <c r="D28" s="108"/>
      <c r="E28" s="109"/>
      <c r="F28" s="109"/>
      <c r="G28" s="123" t="str">
        <f t="shared" si="0"/>
        <v/>
      </c>
      <c r="H28" s="124" t="str">
        <f t="shared" si="1"/>
        <v/>
      </c>
      <c r="I28" s="110"/>
      <c r="J28" s="125" t="str">
        <f>IF($A28="","",SUMIFS(Compras!$D:$D,Compras!$B:$B,$A28))</f>
        <v/>
      </c>
      <c r="K28" s="125" t="str">
        <f>IF($A28="","",SUMIFS(Ventas!$D:$D,Ventas!$B:$B,$A28))</f>
        <v/>
      </c>
      <c r="L28" s="125" t="str">
        <f>IF($A28="","",SUMIFS(Mermas!$D:$D,Mermas!$B:$B,$A28))</f>
        <v/>
      </c>
      <c r="M28" s="125" t="str">
        <f t="shared" si="2"/>
        <v/>
      </c>
      <c r="N28" s="126" t="str">
        <f>IF($A28="","",SUMIFS(Ventas!$F:$F,Ventas!$B:$B,$A28))</f>
        <v/>
      </c>
      <c r="O28" s="129" t="str">
        <f t="shared" si="3"/>
        <v/>
      </c>
    </row>
    <row r="29" spans="1:15" ht="15" customHeight="1" x14ac:dyDescent="0.3">
      <c r="A29" s="108"/>
      <c r="B29" s="108"/>
      <c r="C29" s="108"/>
      <c r="D29" s="108"/>
      <c r="E29" s="109"/>
      <c r="F29" s="109"/>
      <c r="G29" s="123" t="str">
        <f t="shared" si="0"/>
        <v/>
      </c>
      <c r="H29" s="124" t="str">
        <f t="shared" si="1"/>
        <v/>
      </c>
      <c r="I29" s="110"/>
      <c r="J29" s="125" t="str">
        <f>IF($A29="","",SUMIFS(Compras!$D:$D,Compras!$B:$B,$A29))</f>
        <v/>
      </c>
      <c r="K29" s="125" t="str">
        <f>IF($A29="","",SUMIFS(Ventas!$D:$D,Ventas!$B:$B,$A29))</f>
        <v/>
      </c>
      <c r="L29" s="125" t="str">
        <f>IF($A29="","",SUMIFS(Mermas!$D:$D,Mermas!$B:$B,$A29))</f>
        <v/>
      </c>
      <c r="M29" s="125" t="str">
        <f t="shared" si="2"/>
        <v/>
      </c>
      <c r="N29" s="126" t="str">
        <f>IF($A29="","",SUMIFS(Ventas!$F:$F,Ventas!$B:$B,$A29))</f>
        <v/>
      </c>
      <c r="O29" s="129" t="str">
        <f t="shared" si="3"/>
        <v/>
      </c>
    </row>
    <row r="30" spans="1:15" ht="15" customHeight="1" x14ac:dyDescent="0.3">
      <c r="A30" s="108"/>
      <c r="B30" s="108"/>
      <c r="C30" s="108"/>
      <c r="D30" s="108"/>
      <c r="E30" s="109"/>
      <c r="F30" s="109"/>
      <c r="G30" s="123" t="str">
        <f t="shared" si="0"/>
        <v/>
      </c>
      <c r="H30" s="124" t="str">
        <f t="shared" si="1"/>
        <v/>
      </c>
      <c r="I30" s="110"/>
      <c r="J30" s="125" t="str">
        <f>IF($A30="","",SUMIFS(Compras!$D:$D,Compras!$B:$B,$A30))</f>
        <v/>
      </c>
      <c r="K30" s="125" t="str">
        <f>IF($A30="","",SUMIFS(Ventas!$D:$D,Ventas!$B:$B,$A30))</f>
        <v/>
      </c>
      <c r="L30" s="125" t="str">
        <f>IF($A30="","",SUMIFS(Mermas!$D:$D,Mermas!$B:$B,$A30))</f>
        <v/>
      </c>
      <c r="M30" s="125" t="str">
        <f t="shared" si="2"/>
        <v/>
      </c>
      <c r="N30" s="126" t="str">
        <f>IF($A30="","",SUMIFS(Ventas!$F:$F,Ventas!$B:$B,$A30))</f>
        <v/>
      </c>
      <c r="O30" s="129" t="str">
        <f t="shared" si="3"/>
        <v/>
      </c>
    </row>
    <row r="31" spans="1:15" ht="15" customHeight="1" x14ac:dyDescent="0.3">
      <c r="A31" s="108"/>
      <c r="B31" s="108"/>
      <c r="C31" s="108"/>
      <c r="D31" s="108"/>
      <c r="E31" s="109"/>
      <c r="F31" s="109"/>
      <c r="G31" s="123" t="str">
        <f t="shared" si="0"/>
        <v/>
      </c>
      <c r="H31" s="124" t="str">
        <f t="shared" si="1"/>
        <v/>
      </c>
      <c r="I31" s="110"/>
      <c r="J31" s="125" t="str">
        <f>IF($A31="","",SUMIFS(Compras!$D:$D,Compras!$B:$B,$A31))</f>
        <v/>
      </c>
      <c r="K31" s="125" t="str">
        <f>IF($A31="","",SUMIFS(Ventas!$D:$D,Ventas!$B:$B,$A31))</f>
        <v/>
      </c>
      <c r="L31" s="125" t="str">
        <f>IF($A31="","",SUMIFS(Mermas!$D:$D,Mermas!$B:$B,$A31))</f>
        <v/>
      </c>
      <c r="M31" s="125" t="str">
        <f t="shared" si="2"/>
        <v/>
      </c>
      <c r="N31" s="126" t="str">
        <f>IF($A31="","",SUMIFS(Ventas!$F:$F,Ventas!$B:$B,$A31))</f>
        <v/>
      </c>
      <c r="O31" s="129" t="str">
        <f t="shared" si="3"/>
        <v/>
      </c>
    </row>
    <row r="32" spans="1:15" ht="15" customHeight="1" x14ac:dyDescent="0.3">
      <c r="A32" s="108"/>
      <c r="B32" s="108"/>
      <c r="C32" s="108"/>
      <c r="D32" s="108"/>
      <c r="E32" s="109"/>
      <c r="F32" s="109"/>
      <c r="G32" s="123" t="str">
        <f t="shared" si="0"/>
        <v/>
      </c>
      <c r="H32" s="124" t="str">
        <f t="shared" si="1"/>
        <v/>
      </c>
      <c r="I32" s="110"/>
      <c r="J32" s="125" t="str">
        <f>IF($A32="","",SUMIFS(Compras!$D:$D,Compras!$B:$B,$A32))</f>
        <v/>
      </c>
      <c r="K32" s="125" t="str">
        <f>IF($A32="","",SUMIFS(Ventas!$D:$D,Ventas!$B:$B,$A32))</f>
        <v/>
      </c>
      <c r="L32" s="125" t="str">
        <f>IF($A32="","",SUMIFS(Mermas!$D:$D,Mermas!$B:$B,$A32))</f>
        <v/>
      </c>
      <c r="M32" s="125" t="str">
        <f t="shared" si="2"/>
        <v/>
      </c>
      <c r="N32" s="126" t="str">
        <f>IF($A32="","",SUMIFS(Ventas!$F:$F,Ventas!$B:$B,$A32))</f>
        <v/>
      </c>
      <c r="O32" s="129" t="str">
        <f t="shared" si="3"/>
        <v/>
      </c>
    </row>
    <row r="33" spans="1:15" ht="15" customHeight="1" x14ac:dyDescent="0.3">
      <c r="A33" s="108"/>
      <c r="B33" s="108"/>
      <c r="C33" s="108"/>
      <c r="D33" s="108"/>
      <c r="E33" s="109"/>
      <c r="F33" s="109"/>
      <c r="G33" s="123" t="str">
        <f t="shared" si="0"/>
        <v/>
      </c>
      <c r="H33" s="124" t="str">
        <f t="shared" si="1"/>
        <v/>
      </c>
      <c r="I33" s="110"/>
      <c r="J33" s="125" t="str">
        <f>IF($A33="","",SUMIFS(Compras!$D:$D,Compras!$B:$B,$A33))</f>
        <v/>
      </c>
      <c r="K33" s="125" t="str">
        <f>IF($A33="","",SUMIFS(Ventas!$D:$D,Ventas!$B:$B,$A33))</f>
        <v/>
      </c>
      <c r="L33" s="125" t="str">
        <f>IF($A33="","",SUMIFS(Mermas!$D:$D,Mermas!$B:$B,$A33))</f>
        <v/>
      </c>
      <c r="M33" s="125" t="str">
        <f t="shared" si="2"/>
        <v/>
      </c>
      <c r="N33" s="126" t="str">
        <f>IF($A33="","",SUMIFS(Ventas!$F:$F,Ventas!$B:$B,$A33))</f>
        <v/>
      </c>
      <c r="O33" s="129" t="str">
        <f t="shared" si="3"/>
        <v/>
      </c>
    </row>
    <row r="34" spans="1:15" ht="15" customHeight="1" x14ac:dyDescent="0.3">
      <c r="A34" s="108"/>
      <c r="B34" s="108"/>
      <c r="C34" s="108"/>
      <c r="D34" s="108"/>
      <c r="E34" s="109"/>
      <c r="F34" s="109"/>
      <c r="G34" s="123" t="str">
        <f t="shared" si="0"/>
        <v/>
      </c>
      <c r="H34" s="124" t="str">
        <f t="shared" si="1"/>
        <v/>
      </c>
      <c r="I34" s="110"/>
      <c r="J34" s="125" t="str">
        <f>IF($A34="","",SUMIFS(Compras!$D:$D,Compras!$B:$B,$A34))</f>
        <v/>
      </c>
      <c r="K34" s="125" t="str">
        <f>IF($A34="","",SUMIFS(Ventas!$D:$D,Ventas!$B:$B,$A34))</f>
        <v/>
      </c>
      <c r="L34" s="125" t="str">
        <f>IF($A34="","",SUMIFS(Mermas!$D:$D,Mermas!$B:$B,$A34))</f>
        <v/>
      </c>
      <c r="M34" s="125" t="str">
        <f t="shared" si="2"/>
        <v/>
      </c>
      <c r="N34" s="126" t="str">
        <f>IF($A34="","",SUMIFS(Ventas!$F:$F,Ventas!$B:$B,$A34))</f>
        <v/>
      </c>
      <c r="O34" s="129" t="str">
        <f t="shared" si="3"/>
        <v/>
      </c>
    </row>
    <row r="35" spans="1:15" ht="15" customHeight="1" x14ac:dyDescent="0.3">
      <c r="A35" s="108"/>
      <c r="B35" s="108"/>
      <c r="C35" s="108"/>
      <c r="D35" s="108"/>
      <c r="E35" s="109"/>
      <c r="F35" s="109"/>
      <c r="G35" s="123" t="str">
        <f t="shared" si="0"/>
        <v/>
      </c>
      <c r="H35" s="124" t="str">
        <f t="shared" si="1"/>
        <v/>
      </c>
      <c r="I35" s="110"/>
      <c r="J35" s="125" t="str">
        <f>IF($A35="","",SUMIFS(Compras!$D:$D,Compras!$B:$B,$A35))</f>
        <v/>
      </c>
      <c r="K35" s="125" t="str">
        <f>IF($A35="","",SUMIFS(Ventas!$D:$D,Ventas!$B:$B,$A35))</f>
        <v/>
      </c>
      <c r="L35" s="125" t="str">
        <f>IF($A35="","",SUMIFS(Mermas!$D:$D,Mermas!$B:$B,$A35))</f>
        <v/>
      </c>
      <c r="M35" s="125" t="str">
        <f t="shared" si="2"/>
        <v/>
      </c>
      <c r="N35" s="126" t="str">
        <f>IF($A35="","",SUMIFS(Ventas!$F:$F,Ventas!$B:$B,$A35))</f>
        <v/>
      </c>
      <c r="O35" s="129" t="str">
        <f t="shared" si="3"/>
        <v/>
      </c>
    </row>
    <row r="36" spans="1:15" ht="15" customHeight="1" x14ac:dyDescent="0.3">
      <c r="A36" s="108"/>
      <c r="B36" s="108"/>
      <c r="C36" s="108"/>
      <c r="D36" s="108"/>
      <c r="E36" s="109"/>
      <c r="F36" s="109"/>
      <c r="G36" s="123" t="str">
        <f t="shared" si="0"/>
        <v/>
      </c>
      <c r="H36" s="124" t="str">
        <f t="shared" si="1"/>
        <v/>
      </c>
      <c r="I36" s="110"/>
      <c r="J36" s="125" t="str">
        <f>IF($A36="","",SUMIFS(Compras!$D:$D,Compras!$B:$B,$A36))</f>
        <v/>
      </c>
      <c r="K36" s="125" t="str">
        <f>IF($A36="","",SUMIFS(Ventas!$D:$D,Ventas!$B:$B,$A36))</f>
        <v/>
      </c>
      <c r="L36" s="125" t="str">
        <f>IF($A36="","",SUMIFS(Mermas!$D:$D,Mermas!$B:$B,$A36))</f>
        <v/>
      </c>
      <c r="M36" s="125" t="str">
        <f t="shared" si="2"/>
        <v/>
      </c>
      <c r="N36" s="126" t="str">
        <f>IF($A36="","",SUMIFS(Ventas!$F:$F,Ventas!$B:$B,$A36))</f>
        <v/>
      </c>
      <c r="O36" s="129" t="str">
        <f t="shared" si="3"/>
        <v/>
      </c>
    </row>
    <row r="37" spans="1:15" ht="15" customHeight="1" x14ac:dyDescent="0.3">
      <c r="A37" s="108"/>
      <c r="B37" s="108"/>
      <c r="C37" s="108"/>
      <c r="D37" s="108"/>
      <c r="E37" s="109"/>
      <c r="F37" s="109"/>
      <c r="G37" s="123" t="str">
        <f t="shared" ref="G37:G68" si="4">IF($A37="","",F37-E37)</f>
        <v/>
      </c>
      <c r="H37" s="124" t="str">
        <f t="shared" ref="H37:H68" si="5">IF(OR($A37="",F37=0),"",G37/F37)</f>
        <v/>
      </c>
      <c r="I37" s="110"/>
      <c r="J37" s="125" t="str">
        <f>IF($A37="","",SUMIFS(Compras!$D:$D,Compras!$B:$B,$A37))</f>
        <v/>
      </c>
      <c r="K37" s="125" t="str">
        <f>IF($A37="","",SUMIFS(Ventas!$D:$D,Ventas!$B:$B,$A37))</f>
        <v/>
      </c>
      <c r="L37" s="125" t="str">
        <f>IF($A37="","",SUMIFS(Mermas!$D:$D,Mermas!$B:$B,$A37))</f>
        <v/>
      </c>
      <c r="M37" s="125" t="str">
        <f t="shared" ref="M37:M68" si="6">IF($A37="","",N(I37)+J37-K37-L37)</f>
        <v/>
      </c>
      <c r="N37" s="126" t="str">
        <f>IF($A37="","",SUMIFS(Ventas!$F:$F,Ventas!$B:$B,$A37))</f>
        <v/>
      </c>
      <c r="O37" s="129" t="str">
        <f t="shared" ref="O37:O68" si="7">IF($A37="","",IF(N37=0,"C",IF(N37&gt;=$N$126*0.6,"A",IF(N37&gt;=$N$126*0.25,"B","C"))))</f>
        <v/>
      </c>
    </row>
    <row r="38" spans="1:15" ht="15" customHeight="1" x14ac:dyDescent="0.3">
      <c r="A38" s="108"/>
      <c r="B38" s="108"/>
      <c r="C38" s="108"/>
      <c r="D38" s="108"/>
      <c r="E38" s="109"/>
      <c r="F38" s="109"/>
      <c r="G38" s="123" t="str">
        <f t="shared" si="4"/>
        <v/>
      </c>
      <c r="H38" s="124" t="str">
        <f t="shared" si="5"/>
        <v/>
      </c>
      <c r="I38" s="110"/>
      <c r="J38" s="125" t="str">
        <f>IF($A38="","",SUMIFS(Compras!$D:$D,Compras!$B:$B,$A38))</f>
        <v/>
      </c>
      <c r="K38" s="125" t="str">
        <f>IF($A38="","",SUMIFS(Ventas!$D:$D,Ventas!$B:$B,$A38))</f>
        <v/>
      </c>
      <c r="L38" s="125" t="str">
        <f>IF($A38="","",SUMIFS(Mermas!$D:$D,Mermas!$B:$B,$A38))</f>
        <v/>
      </c>
      <c r="M38" s="125" t="str">
        <f t="shared" si="6"/>
        <v/>
      </c>
      <c r="N38" s="126" t="str">
        <f>IF($A38="","",SUMIFS(Ventas!$F:$F,Ventas!$B:$B,$A38))</f>
        <v/>
      </c>
      <c r="O38" s="129" t="str">
        <f t="shared" si="7"/>
        <v/>
      </c>
    </row>
    <row r="39" spans="1:15" ht="15" customHeight="1" x14ac:dyDescent="0.3">
      <c r="A39" s="108"/>
      <c r="B39" s="108"/>
      <c r="C39" s="108"/>
      <c r="D39" s="108"/>
      <c r="E39" s="109"/>
      <c r="F39" s="109"/>
      <c r="G39" s="123" t="str">
        <f t="shared" si="4"/>
        <v/>
      </c>
      <c r="H39" s="124" t="str">
        <f t="shared" si="5"/>
        <v/>
      </c>
      <c r="I39" s="110"/>
      <c r="J39" s="125" t="str">
        <f>IF($A39="","",SUMIFS(Compras!$D:$D,Compras!$B:$B,$A39))</f>
        <v/>
      </c>
      <c r="K39" s="125" t="str">
        <f>IF($A39="","",SUMIFS(Ventas!$D:$D,Ventas!$B:$B,$A39))</f>
        <v/>
      </c>
      <c r="L39" s="125" t="str">
        <f>IF($A39="","",SUMIFS(Mermas!$D:$D,Mermas!$B:$B,$A39))</f>
        <v/>
      </c>
      <c r="M39" s="125" t="str">
        <f t="shared" si="6"/>
        <v/>
      </c>
      <c r="N39" s="126" t="str">
        <f>IF($A39="","",SUMIFS(Ventas!$F:$F,Ventas!$B:$B,$A39))</f>
        <v/>
      </c>
      <c r="O39" s="129" t="str">
        <f t="shared" si="7"/>
        <v/>
      </c>
    </row>
    <row r="40" spans="1:15" ht="15" customHeight="1" x14ac:dyDescent="0.3">
      <c r="A40" s="108"/>
      <c r="B40" s="108"/>
      <c r="C40" s="108"/>
      <c r="D40" s="108"/>
      <c r="E40" s="109"/>
      <c r="F40" s="109"/>
      <c r="G40" s="123" t="str">
        <f t="shared" si="4"/>
        <v/>
      </c>
      <c r="H40" s="124" t="str">
        <f t="shared" si="5"/>
        <v/>
      </c>
      <c r="I40" s="110"/>
      <c r="J40" s="125" t="str">
        <f>IF($A40="","",SUMIFS(Compras!$D:$D,Compras!$B:$B,$A40))</f>
        <v/>
      </c>
      <c r="K40" s="125" t="str">
        <f>IF($A40="","",SUMIFS(Ventas!$D:$D,Ventas!$B:$B,$A40))</f>
        <v/>
      </c>
      <c r="L40" s="125" t="str">
        <f>IF($A40="","",SUMIFS(Mermas!$D:$D,Mermas!$B:$B,$A40))</f>
        <v/>
      </c>
      <c r="M40" s="125" t="str">
        <f t="shared" si="6"/>
        <v/>
      </c>
      <c r="N40" s="126" t="str">
        <f>IF($A40="","",SUMIFS(Ventas!$F:$F,Ventas!$B:$B,$A40))</f>
        <v/>
      </c>
      <c r="O40" s="129" t="str">
        <f t="shared" si="7"/>
        <v/>
      </c>
    </row>
    <row r="41" spans="1:15" ht="15" customHeight="1" x14ac:dyDescent="0.3">
      <c r="A41" s="108"/>
      <c r="B41" s="108"/>
      <c r="C41" s="108"/>
      <c r="D41" s="108"/>
      <c r="E41" s="109"/>
      <c r="F41" s="109"/>
      <c r="G41" s="123" t="str">
        <f t="shared" si="4"/>
        <v/>
      </c>
      <c r="H41" s="124" t="str">
        <f t="shared" si="5"/>
        <v/>
      </c>
      <c r="I41" s="110"/>
      <c r="J41" s="125" t="str">
        <f>IF($A41="","",SUMIFS(Compras!$D:$D,Compras!$B:$B,$A41))</f>
        <v/>
      </c>
      <c r="K41" s="125" t="str">
        <f>IF($A41="","",SUMIFS(Ventas!$D:$D,Ventas!$B:$B,$A41))</f>
        <v/>
      </c>
      <c r="L41" s="125" t="str">
        <f>IF($A41="","",SUMIFS(Mermas!$D:$D,Mermas!$B:$B,$A41))</f>
        <v/>
      </c>
      <c r="M41" s="125" t="str">
        <f t="shared" si="6"/>
        <v/>
      </c>
      <c r="N41" s="126" t="str">
        <f>IF($A41="","",SUMIFS(Ventas!$F:$F,Ventas!$B:$B,$A41))</f>
        <v/>
      </c>
      <c r="O41" s="129" t="str">
        <f t="shared" si="7"/>
        <v/>
      </c>
    </row>
    <row r="42" spans="1:15" ht="15" customHeight="1" x14ac:dyDescent="0.3">
      <c r="A42" s="108"/>
      <c r="B42" s="108"/>
      <c r="C42" s="108"/>
      <c r="D42" s="108"/>
      <c r="E42" s="109"/>
      <c r="F42" s="109"/>
      <c r="G42" s="123" t="str">
        <f t="shared" si="4"/>
        <v/>
      </c>
      <c r="H42" s="124" t="str">
        <f t="shared" si="5"/>
        <v/>
      </c>
      <c r="I42" s="110"/>
      <c r="J42" s="125" t="str">
        <f>IF($A42="","",SUMIFS(Compras!$D:$D,Compras!$B:$B,$A42))</f>
        <v/>
      </c>
      <c r="K42" s="125" t="str">
        <f>IF($A42="","",SUMIFS(Ventas!$D:$D,Ventas!$B:$B,$A42))</f>
        <v/>
      </c>
      <c r="L42" s="125" t="str">
        <f>IF($A42="","",SUMIFS(Mermas!$D:$D,Mermas!$B:$B,$A42))</f>
        <v/>
      </c>
      <c r="M42" s="125" t="str">
        <f t="shared" si="6"/>
        <v/>
      </c>
      <c r="N42" s="126" t="str">
        <f>IF($A42="","",SUMIFS(Ventas!$F:$F,Ventas!$B:$B,$A42))</f>
        <v/>
      </c>
      <c r="O42" s="129" t="str">
        <f t="shared" si="7"/>
        <v/>
      </c>
    </row>
    <row r="43" spans="1:15" ht="15" customHeight="1" x14ac:dyDescent="0.3">
      <c r="A43" s="108"/>
      <c r="B43" s="108"/>
      <c r="C43" s="108"/>
      <c r="D43" s="108"/>
      <c r="E43" s="109"/>
      <c r="F43" s="109"/>
      <c r="G43" s="123" t="str">
        <f t="shared" si="4"/>
        <v/>
      </c>
      <c r="H43" s="124" t="str">
        <f t="shared" si="5"/>
        <v/>
      </c>
      <c r="I43" s="110"/>
      <c r="J43" s="125" t="str">
        <f>IF($A43="","",SUMIFS(Compras!$D:$D,Compras!$B:$B,$A43))</f>
        <v/>
      </c>
      <c r="K43" s="125" t="str">
        <f>IF($A43="","",SUMIFS(Ventas!$D:$D,Ventas!$B:$B,$A43))</f>
        <v/>
      </c>
      <c r="L43" s="125" t="str">
        <f>IF($A43="","",SUMIFS(Mermas!$D:$D,Mermas!$B:$B,$A43))</f>
        <v/>
      </c>
      <c r="M43" s="125" t="str">
        <f t="shared" si="6"/>
        <v/>
      </c>
      <c r="N43" s="126" t="str">
        <f>IF($A43="","",SUMIFS(Ventas!$F:$F,Ventas!$B:$B,$A43))</f>
        <v/>
      </c>
      <c r="O43" s="129" t="str">
        <f t="shared" si="7"/>
        <v/>
      </c>
    </row>
    <row r="44" spans="1:15" ht="15" customHeight="1" x14ac:dyDescent="0.3">
      <c r="A44" s="108"/>
      <c r="B44" s="108"/>
      <c r="C44" s="108"/>
      <c r="D44" s="108"/>
      <c r="E44" s="109"/>
      <c r="F44" s="109"/>
      <c r="G44" s="123" t="str">
        <f t="shared" si="4"/>
        <v/>
      </c>
      <c r="H44" s="124" t="str">
        <f t="shared" si="5"/>
        <v/>
      </c>
      <c r="I44" s="110"/>
      <c r="J44" s="125" t="str">
        <f>IF($A44="","",SUMIFS(Compras!$D:$D,Compras!$B:$B,$A44))</f>
        <v/>
      </c>
      <c r="K44" s="125" t="str">
        <f>IF($A44="","",SUMIFS(Ventas!$D:$D,Ventas!$B:$B,$A44))</f>
        <v/>
      </c>
      <c r="L44" s="125" t="str">
        <f>IF($A44="","",SUMIFS(Mermas!$D:$D,Mermas!$B:$B,$A44))</f>
        <v/>
      </c>
      <c r="M44" s="125" t="str">
        <f t="shared" si="6"/>
        <v/>
      </c>
      <c r="N44" s="126" t="str">
        <f>IF($A44="","",SUMIFS(Ventas!$F:$F,Ventas!$B:$B,$A44))</f>
        <v/>
      </c>
      <c r="O44" s="129" t="str">
        <f t="shared" si="7"/>
        <v/>
      </c>
    </row>
    <row r="45" spans="1:15" ht="15" customHeight="1" x14ac:dyDescent="0.3">
      <c r="A45" s="108"/>
      <c r="B45" s="108"/>
      <c r="C45" s="108"/>
      <c r="D45" s="108"/>
      <c r="E45" s="109"/>
      <c r="F45" s="109"/>
      <c r="G45" s="123" t="str">
        <f t="shared" si="4"/>
        <v/>
      </c>
      <c r="H45" s="124" t="str">
        <f t="shared" si="5"/>
        <v/>
      </c>
      <c r="I45" s="110"/>
      <c r="J45" s="125" t="str">
        <f>IF($A45="","",SUMIFS(Compras!$D:$D,Compras!$B:$B,$A45))</f>
        <v/>
      </c>
      <c r="K45" s="125" t="str">
        <f>IF($A45="","",SUMIFS(Ventas!$D:$D,Ventas!$B:$B,$A45))</f>
        <v/>
      </c>
      <c r="L45" s="125" t="str">
        <f>IF($A45="","",SUMIFS(Mermas!$D:$D,Mermas!$B:$B,$A45))</f>
        <v/>
      </c>
      <c r="M45" s="125" t="str">
        <f t="shared" si="6"/>
        <v/>
      </c>
      <c r="N45" s="126" t="str">
        <f>IF($A45="","",SUMIFS(Ventas!$F:$F,Ventas!$B:$B,$A45))</f>
        <v/>
      </c>
      <c r="O45" s="129" t="str">
        <f t="shared" si="7"/>
        <v/>
      </c>
    </row>
    <row r="46" spans="1:15" ht="15" customHeight="1" x14ac:dyDescent="0.3">
      <c r="A46" s="108"/>
      <c r="B46" s="108"/>
      <c r="C46" s="108"/>
      <c r="D46" s="108"/>
      <c r="E46" s="109"/>
      <c r="F46" s="109"/>
      <c r="G46" s="123" t="str">
        <f t="shared" si="4"/>
        <v/>
      </c>
      <c r="H46" s="124" t="str">
        <f t="shared" si="5"/>
        <v/>
      </c>
      <c r="I46" s="110"/>
      <c r="J46" s="125" t="str">
        <f>IF($A46="","",SUMIFS(Compras!$D:$D,Compras!$B:$B,$A46))</f>
        <v/>
      </c>
      <c r="K46" s="125" t="str">
        <f>IF($A46="","",SUMIFS(Ventas!$D:$D,Ventas!$B:$B,$A46))</f>
        <v/>
      </c>
      <c r="L46" s="125" t="str">
        <f>IF($A46="","",SUMIFS(Mermas!$D:$D,Mermas!$B:$B,$A46))</f>
        <v/>
      </c>
      <c r="M46" s="125" t="str">
        <f t="shared" si="6"/>
        <v/>
      </c>
      <c r="N46" s="126" t="str">
        <f>IF($A46="","",SUMIFS(Ventas!$F:$F,Ventas!$B:$B,$A46))</f>
        <v/>
      </c>
      <c r="O46" s="129" t="str">
        <f t="shared" si="7"/>
        <v/>
      </c>
    </row>
    <row r="47" spans="1:15" ht="15" customHeight="1" x14ac:dyDescent="0.3">
      <c r="A47" s="108"/>
      <c r="B47" s="108"/>
      <c r="C47" s="108"/>
      <c r="D47" s="108"/>
      <c r="E47" s="109"/>
      <c r="F47" s="109"/>
      <c r="G47" s="123" t="str">
        <f t="shared" si="4"/>
        <v/>
      </c>
      <c r="H47" s="124" t="str">
        <f t="shared" si="5"/>
        <v/>
      </c>
      <c r="I47" s="110"/>
      <c r="J47" s="125" t="str">
        <f>IF($A47="","",SUMIFS(Compras!$D:$D,Compras!$B:$B,$A47))</f>
        <v/>
      </c>
      <c r="K47" s="125" t="str">
        <f>IF($A47="","",SUMIFS(Ventas!$D:$D,Ventas!$B:$B,$A47))</f>
        <v/>
      </c>
      <c r="L47" s="125" t="str">
        <f>IF($A47="","",SUMIFS(Mermas!$D:$D,Mermas!$B:$B,$A47))</f>
        <v/>
      </c>
      <c r="M47" s="125" t="str">
        <f t="shared" si="6"/>
        <v/>
      </c>
      <c r="N47" s="126" t="str">
        <f>IF($A47="","",SUMIFS(Ventas!$F:$F,Ventas!$B:$B,$A47))</f>
        <v/>
      </c>
      <c r="O47" s="129" t="str">
        <f t="shared" si="7"/>
        <v/>
      </c>
    </row>
    <row r="48" spans="1:15" ht="15" customHeight="1" x14ac:dyDescent="0.3">
      <c r="A48" s="108"/>
      <c r="B48" s="108"/>
      <c r="C48" s="108"/>
      <c r="D48" s="108"/>
      <c r="E48" s="109"/>
      <c r="F48" s="109"/>
      <c r="G48" s="123" t="str">
        <f t="shared" si="4"/>
        <v/>
      </c>
      <c r="H48" s="124" t="str">
        <f t="shared" si="5"/>
        <v/>
      </c>
      <c r="I48" s="110"/>
      <c r="J48" s="125" t="str">
        <f>IF($A48="","",SUMIFS(Compras!$D:$D,Compras!$B:$B,$A48))</f>
        <v/>
      </c>
      <c r="K48" s="125" t="str">
        <f>IF($A48="","",SUMIFS(Ventas!$D:$D,Ventas!$B:$B,$A48))</f>
        <v/>
      </c>
      <c r="L48" s="125" t="str">
        <f>IF($A48="","",SUMIFS(Mermas!$D:$D,Mermas!$B:$B,$A48))</f>
        <v/>
      </c>
      <c r="M48" s="125" t="str">
        <f t="shared" si="6"/>
        <v/>
      </c>
      <c r="N48" s="126" t="str">
        <f>IF($A48="","",SUMIFS(Ventas!$F:$F,Ventas!$B:$B,$A48))</f>
        <v/>
      </c>
      <c r="O48" s="129" t="str">
        <f t="shared" si="7"/>
        <v/>
      </c>
    </row>
    <row r="49" spans="1:15" ht="15" customHeight="1" x14ac:dyDescent="0.3">
      <c r="A49" s="108"/>
      <c r="B49" s="108"/>
      <c r="C49" s="108"/>
      <c r="D49" s="108"/>
      <c r="E49" s="109"/>
      <c r="F49" s="109"/>
      <c r="G49" s="123" t="str">
        <f t="shared" si="4"/>
        <v/>
      </c>
      <c r="H49" s="124" t="str">
        <f t="shared" si="5"/>
        <v/>
      </c>
      <c r="I49" s="110"/>
      <c r="J49" s="125" t="str">
        <f>IF($A49="","",SUMIFS(Compras!$D:$D,Compras!$B:$B,$A49))</f>
        <v/>
      </c>
      <c r="K49" s="125" t="str">
        <f>IF($A49="","",SUMIFS(Ventas!$D:$D,Ventas!$B:$B,$A49))</f>
        <v/>
      </c>
      <c r="L49" s="125" t="str">
        <f>IF($A49="","",SUMIFS(Mermas!$D:$D,Mermas!$B:$B,$A49))</f>
        <v/>
      </c>
      <c r="M49" s="125" t="str">
        <f t="shared" si="6"/>
        <v/>
      </c>
      <c r="N49" s="126" t="str">
        <f>IF($A49="","",SUMIFS(Ventas!$F:$F,Ventas!$B:$B,$A49))</f>
        <v/>
      </c>
      <c r="O49" s="129" t="str">
        <f t="shared" si="7"/>
        <v/>
      </c>
    </row>
    <row r="50" spans="1:15" ht="15" customHeight="1" x14ac:dyDescent="0.3">
      <c r="A50" s="108"/>
      <c r="B50" s="108"/>
      <c r="C50" s="108"/>
      <c r="D50" s="108"/>
      <c r="E50" s="109"/>
      <c r="F50" s="109"/>
      <c r="G50" s="123" t="str">
        <f t="shared" si="4"/>
        <v/>
      </c>
      <c r="H50" s="124" t="str">
        <f t="shared" si="5"/>
        <v/>
      </c>
      <c r="I50" s="110"/>
      <c r="J50" s="125" t="str">
        <f>IF($A50="","",SUMIFS(Compras!$D:$D,Compras!$B:$B,$A50))</f>
        <v/>
      </c>
      <c r="K50" s="125" t="str">
        <f>IF($A50="","",SUMIFS(Ventas!$D:$D,Ventas!$B:$B,$A50))</f>
        <v/>
      </c>
      <c r="L50" s="125" t="str">
        <f>IF($A50="","",SUMIFS(Mermas!$D:$D,Mermas!$B:$B,$A50))</f>
        <v/>
      </c>
      <c r="M50" s="125" t="str">
        <f t="shared" si="6"/>
        <v/>
      </c>
      <c r="N50" s="126" t="str">
        <f>IF($A50="","",SUMIFS(Ventas!$F:$F,Ventas!$B:$B,$A50))</f>
        <v/>
      </c>
      <c r="O50" s="129" t="str">
        <f t="shared" si="7"/>
        <v/>
      </c>
    </row>
    <row r="51" spans="1:15" ht="15" customHeight="1" x14ac:dyDescent="0.3">
      <c r="A51" s="108"/>
      <c r="B51" s="108"/>
      <c r="C51" s="108"/>
      <c r="D51" s="108"/>
      <c r="E51" s="109"/>
      <c r="F51" s="109"/>
      <c r="G51" s="123" t="str">
        <f t="shared" si="4"/>
        <v/>
      </c>
      <c r="H51" s="124" t="str">
        <f t="shared" si="5"/>
        <v/>
      </c>
      <c r="I51" s="110"/>
      <c r="J51" s="125" t="str">
        <f>IF($A51="","",SUMIFS(Compras!$D:$D,Compras!$B:$B,$A51))</f>
        <v/>
      </c>
      <c r="K51" s="125" t="str">
        <f>IF($A51="","",SUMIFS(Ventas!$D:$D,Ventas!$B:$B,$A51))</f>
        <v/>
      </c>
      <c r="L51" s="125" t="str">
        <f>IF($A51="","",SUMIFS(Mermas!$D:$D,Mermas!$B:$B,$A51))</f>
        <v/>
      </c>
      <c r="M51" s="125" t="str">
        <f t="shared" si="6"/>
        <v/>
      </c>
      <c r="N51" s="126" t="str">
        <f>IF($A51="","",SUMIFS(Ventas!$F:$F,Ventas!$B:$B,$A51))</f>
        <v/>
      </c>
      <c r="O51" s="129" t="str">
        <f t="shared" si="7"/>
        <v/>
      </c>
    </row>
    <row r="52" spans="1:15" ht="15" customHeight="1" x14ac:dyDescent="0.3">
      <c r="A52" s="108"/>
      <c r="B52" s="108"/>
      <c r="C52" s="108"/>
      <c r="D52" s="108"/>
      <c r="E52" s="109"/>
      <c r="F52" s="109"/>
      <c r="G52" s="123" t="str">
        <f t="shared" si="4"/>
        <v/>
      </c>
      <c r="H52" s="124" t="str">
        <f t="shared" si="5"/>
        <v/>
      </c>
      <c r="I52" s="110"/>
      <c r="J52" s="125" t="str">
        <f>IF($A52="","",SUMIFS(Compras!$D:$D,Compras!$B:$B,$A52))</f>
        <v/>
      </c>
      <c r="K52" s="125" t="str">
        <f>IF($A52="","",SUMIFS(Ventas!$D:$D,Ventas!$B:$B,$A52))</f>
        <v/>
      </c>
      <c r="L52" s="125" t="str">
        <f>IF($A52="","",SUMIFS(Mermas!$D:$D,Mermas!$B:$B,$A52))</f>
        <v/>
      </c>
      <c r="M52" s="125" t="str">
        <f t="shared" si="6"/>
        <v/>
      </c>
      <c r="N52" s="126" t="str">
        <f>IF($A52="","",SUMIFS(Ventas!$F:$F,Ventas!$B:$B,$A52))</f>
        <v/>
      </c>
      <c r="O52" s="129" t="str">
        <f t="shared" si="7"/>
        <v/>
      </c>
    </row>
    <row r="53" spans="1:15" ht="15" customHeight="1" x14ac:dyDescent="0.3">
      <c r="A53" s="108"/>
      <c r="B53" s="108"/>
      <c r="C53" s="108"/>
      <c r="D53" s="108"/>
      <c r="E53" s="109"/>
      <c r="F53" s="109"/>
      <c r="G53" s="123" t="str">
        <f t="shared" si="4"/>
        <v/>
      </c>
      <c r="H53" s="124" t="str">
        <f t="shared" si="5"/>
        <v/>
      </c>
      <c r="I53" s="110"/>
      <c r="J53" s="125" t="str">
        <f>IF($A53="","",SUMIFS(Compras!$D:$D,Compras!$B:$B,$A53))</f>
        <v/>
      </c>
      <c r="K53" s="125" t="str">
        <f>IF($A53="","",SUMIFS(Ventas!$D:$D,Ventas!$B:$B,$A53))</f>
        <v/>
      </c>
      <c r="L53" s="125" t="str">
        <f>IF($A53="","",SUMIFS(Mermas!$D:$D,Mermas!$B:$B,$A53))</f>
        <v/>
      </c>
      <c r="M53" s="125" t="str">
        <f t="shared" si="6"/>
        <v/>
      </c>
      <c r="N53" s="126" t="str">
        <f>IF($A53="","",SUMIFS(Ventas!$F:$F,Ventas!$B:$B,$A53))</f>
        <v/>
      </c>
      <c r="O53" s="129" t="str">
        <f t="shared" si="7"/>
        <v/>
      </c>
    </row>
    <row r="54" spans="1:15" ht="15" customHeight="1" x14ac:dyDescent="0.3">
      <c r="A54" s="108"/>
      <c r="B54" s="108"/>
      <c r="C54" s="108"/>
      <c r="D54" s="108"/>
      <c r="E54" s="109"/>
      <c r="F54" s="109"/>
      <c r="G54" s="123" t="str">
        <f t="shared" si="4"/>
        <v/>
      </c>
      <c r="H54" s="124" t="str">
        <f t="shared" si="5"/>
        <v/>
      </c>
      <c r="I54" s="110"/>
      <c r="J54" s="125" t="str">
        <f>IF($A54="","",SUMIFS(Compras!$D:$D,Compras!$B:$B,$A54))</f>
        <v/>
      </c>
      <c r="K54" s="125" t="str">
        <f>IF($A54="","",SUMIFS(Ventas!$D:$D,Ventas!$B:$B,$A54))</f>
        <v/>
      </c>
      <c r="L54" s="125" t="str">
        <f>IF($A54="","",SUMIFS(Mermas!$D:$D,Mermas!$B:$B,$A54))</f>
        <v/>
      </c>
      <c r="M54" s="125" t="str">
        <f t="shared" si="6"/>
        <v/>
      </c>
      <c r="N54" s="126" t="str">
        <f>IF($A54="","",SUMIFS(Ventas!$F:$F,Ventas!$B:$B,$A54))</f>
        <v/>
      </c>
      <c r="O54" s="129" t="str">
        <f t="shared" si="7"/>
        <v/>
      </c>
    </row>
    <row r="55" spans="1:15" ht="15" customHeight="1" x14ac:dyDescent="0.3">
      <c r="A55" s="108"/>
      <c r="B55" s="108"/>
      <c r="C55" s="108"/>
      <c r="D55" s="108"/>
      <c r="E55" s="109"/>
      <c r="F55" s="109"/>
      <c r="G55" s="123" t="str">
        <f t="shared" si="4"/>
        <v/>
      </c>
      <c r="H55" s="124" t="str">
        <f t="shared" si="5"/>
        <v/>
      </c>
      <c r="I55" s="110"/>
      <c r="J55" s="125" t="str">
        <f>IF($A55="","",SUMIFS(Compras!$D:$D,Compras!$B:$B,$A55))</f>
        <v/>
      </c>
      <c r="K55" s="125" t="str">
        <f>IF($A55="","",SUMIFS(Ventas!$D:$D,Ventas!$B:$B,$A55))</f>
        <v/>
      </c>
      <c r="L55" s="125" t="str">
        <f>IF($A55="","",SUMIFS(Mermas!$D:$D,Mermas!$B:$B,$A55))</f>
        <v/>
      </c>
      <c r="M55" s="125" t="str">
        <f t="shared" si="6"/>
        <v/>
      </c>
      <c r="N55" s="126" t="str">
        <f>IF($A55="","",SUMIFS(Ventas!$F:$F,Ventas!$B:$B,$A55))</f>
        <v/>
      </c>
      <c r="O55" s="129" t="str">
        <f t="shared" si="7"/>
        <v/>
      </c>
    </row>
    <row r="56" spans="1:15" ht="15" customHeight="1" x14ac:dyDescent="0.3">
      <c r="A56" s="108"/>
      <c r="B56" s="108"/>
      <c r="C56" s="108"/>
      <c r="D56" s="108"/>
      <c r="E56" s="109"/>
      <c r="F56" s="109"/>
      <c r="G56" s="123" t="str">
        <f t="shared" si="4"/>
        <v/>
      </c>
      <c r="H56" s="124" t="str">
        <f t="shared" si="5"/>
        <v/>
      </c>
      <c r="I56" s="110"/>
      <c r="J56" s="125" t="str">
        <f>IF($A56="","",SUMIFS(Compras!$D:$D,Compras!$B:$B,$A56))</f>
        <v/>
      </c>
      <c r="K56" s="125" t="str">
        <f>IF($A56="","",SUMIFS(Ventas!$D:$D,Ventas!$B:$B,$A56))</f>
        <v/>
      </c>
      <c r="L56" s="125" t="str">
        <f>IF($A56="","",SUMIFS(Mermas!$D:$D,Mermas!$B:$B,$A56))</f>
        <v/>
      </c>
      <c r="M56" s="125" t="str">
        <f t="shared" si="6"/>
        <v/>
      </c>
      <c r="N56" s="126" t="str">
        <f>IF($A56="","",SUMIFS(Ventas!$F:$F,Ventas!$B:$B,$A56))</f>
        <v/>
      </c>
      <c r="O56" s="129" t="str">
        <f t="shared" si="7"/>
        <v/>
      </c>
    </row>
    <row r="57" spans="1:15" ht="15" customHeight="1" x14ac:dyDescent="0.3">
      <c r="A57" s="108"/>
      <c r="B57" s="108"/>
      <c r="C57" s="108"/>
      <c r="D57" s="108"/>
      <c r="E57" s="109"/>
      <c r="F57" s="109"/>
      <c r="G57" s="123" t="str">
        <f t="shared" si="4"/>
        <v/>
      </c>
      <c r="H57" s="124" t="str">
        <f t="shared" si="5"/>
        <v/>
      </c>
      <c r="I57" s="110"/>
      <c r="J57" s="125" t="str">
        <f>IF($A57="","",SUMIFS(Compras!$D:$D,Compras!$B:$B,$A57))</f>
        <v/>
      </c>
      <c r="K57" s="125" t="str">
        <f>IF($A57="","",SUMIFS(Ventas!$D:$D,Ventas!$B:$B,$A57))</f>
        <v/>
      </c>
      <c r="L57" s="125" t="str">
        <f>IF($A57="","",SUMIFS(Mermas!$D:$D,Mermas!$B:$B,$A57))</f>
        <v/>
      </c>
      <c r="M57" s="125" t="str">
        <f t="shared" si="6"/>
        <v/>
      </c>
      <c r="N57" s="126" t="str">
        <f>IF($A57="","",SUMIFS(Ventas!$F:$F,Ventas!$B:$B,$A57))</f>
        <v/>
      </c>
      <c r="O57" s="129" t="str">
        <f t="shared" si="7"/>
        <v/>
      </c>
    </row>
    <row r="58" spans="1:15" ht="15" customHeight="1" x14ac:dyDescent="0.3">
      <c r="A58" s="108"/>
      <c r="B58" s="108"/>
      <c r="C58" s="108"/>
      <c r="D58" s="108"/>
      <c r="E58" s="109"/>
      <c r="F58" s="109"/>
      <c r="G58" s="123" t="str">
        <f t="shared" si="4"/>
        <v/>
      </c>
      <c r="H58" s="124" t="str">
        <f t="shared" si="5"/>
        <v/>
      </c>
      <c r="I58" s="110"/>
      <c r="J58" s="125" t="str">
        <f>IF($A58="","",SUMIFS(Compras!$D:$D,Compras!$B:$B,$A58))</f>
        <v/>
      </c>
      <c r="K58" s="125" t="str">
        <f>IF($A58="","",SUMIFS(Ventas!$D:$D,Ventas!$B:$B,$A58))</f>
        <v/>
      </c>
      <c r="L58" s="125" t="str">
        <f>IF($A58="","",SUMIFS(Mermas!$D:$D,Mermas!$B:$B,$A58))</f>
        <v/>
      </c>
      <c r="M58" s="125" t="str">
        <f t="shared" si="6"/>
        <v/>
      </c>
      <c r="N58" s="126" t="str">
        <f>IF($A58="","",SUMIFS(Ventas!$F:$F,Ventas!$B:$B,$A58))</f>
        <v/>
      </c>
      <c r="O58" s="129" t="str">
        <f t="shared" si="7"/>
        <v/>
      </c>
    </row>
    <row r="59" spans="1:15" ht="15" customHeight="1" x14ac:dyDescent="0.3">
      <c r="A59" s="108"/>
      <c r="B59" s="108"/>
      <c r="C59" s="108"/>
      <c r="D59" s="108"/>
      <c r="E59" s="109"/>
      <c r="F59" s="109"/>
      <c r="G59" s="123" t="str">
        <f t="shared" si="4"/>
        <v/>
      </c>
      <c r="H59" s="124" t="str">
        <f t="shared" si="5"/>
        <v/>
      </c>
      <c r="I59" s="110"/>
      <c r="J59" s="125" t="str">
        <f>IF($A59="","",SUMIFS(Compras!$D:$D,Compras!$B:$B,$A59))</f>
        <v/>
      </c>
      <c r="K59" s="125" t="str">
        <f>IF($A59="","",SUMIFS(Ventas!$D:$D,Ventas!$B:$B,$A59))</f>
        <v/>
      </c>
      <c r="L59" s="125" t="str">
        <f>IF($A59="","",SUMIFS(Mermas!$D:$D,Mermas!$B:$B,$A59))</f>
        <v/>
      </c>
      <c r="M59" s="125" t="str">
        <f t="shared" si="6"/>
        <v/>
      </c>
      <c r="N59" s="126" t="str">
        <f>IF($A59="","",SUMIFS(Ventas!$F:$F,Ventas!$B:$B,$A59))</f>
        <v/>
      </c>
      <c r="O59" s="129" t="str">
        <f t="shared" si="7"/>
        <v/>
      </c>
    </row>
    <row r="60" spans="1:15" ht="15" customHeight="1" x14ac:dyDescent="0.3">
      <c r="A60" s="108"/>
      <c r="B60" s="108"/>
      <c r="C60" s="108"/>
      <c r="D60" s="108"/>
      <c r="E60" s="109"/>
      <c r="F60" s="109"/>
      <c r="G60" s="123" t="str">
        <f t="shared" si="4"/>
        <v/>
      </c>
      <c r="H60" s="124" t="str">
        <f t="shared" si="5"/>
        <v/>
      </c>
      <c r="I60" s="110"/>
      <c r="J60" s="125" t="str">
        <f>IF($A60="","",SUMIFS(Compras!$D:$D,Compras!$B:$B,$A60))</f>
        <v/>
      </c>
      <c r="K60" s="125" t="str">
        <f>IF($A60="","",SUMIFS(Ventas!$D:$D,Ventas!$B:$B,$A60))</f>
        <v/>
      </c>
      <c r="L60" s="125" t="str">
        <f>IF($A60="","",SUMIFS(Mermas!$D:$D,Mermas!$B:$B,$A60))</f>
        <v/>
      </c>
      <c r="M60" s="125" t="str">
        <f t="shared" si="6"/>
        <v/>
      </c>
      <c r="N60" s="126" t="str">
        <f>IF($A60="","",SUMIFS(Ventas!$F:$F,Ventas!$B:$B,$A60))</f>
        <v/>
      </c>
      <c r="O60" s="129" t="str">
        <f t="shared" si="7"/>
        <v/>
      </c>
    </row>
    <row r="61" spans="1:15" ht="15" customHeight="1" x14ac:dyDescent="0.3">
      <c r="A61" s="108"/>
      <c r="B61" s="108"/>
      <c r="C61" s="108"/>
      <c r="D61" s="108"/>
      <c r="E61" s="109"/>
      <c r="F61" s="109"/>
      <c r="G61" s="123" t="str">
        <f t="shared" si="4"/>
        <v/>
      </c>
      <c r="H61" s="124" t="str">
        <f t="shared" si="5"/>
        <v/>
      </c>
      <c r="I61" s="110"/>
      <c r="J61" s="125" t="str">
        <f>IF($A61="","",SUMIFS(Compras!$D:$D,Compras!$B:$B,$A61))</f>
        <v/>
      </c>
      <c r="K61" s="125" t="str">
        <f>IF($A61="","",SUMIFS(Ventas!$D:$D,Ventas!$B:$B,$A61))</f>
        <v/>
      </c>
      <c r="L61" s="125" t="str">
        <f>IF($A61="","",SUMIFS(Mermas!$D:$D,Mermas!$B:$B,$A61))</f>
        <v/>
      </c>
      <c r="M61" s="125" t="str">
        <f t="shared" si="6"/>
        <v/>
      </c>
      <c r="N61" s="126" t="str">
        <f>IF($A61="","",SUMIFS(Ventas!$F:$F,Ventas!$B:$B,$A61))</f>
        <v/>
      </c>
      <c r="O61" s="129" t="str">
        <f t="shared" si="7"/>
        <v/>
      </c>
    </row>
    <row r="62" spans="1:15" ht="15" customHeight="1" x14ac:dyDescent="0.3">
      <c r="A62" s="108"/>
      <c r="B62" s="108"/>
      <c r="C62" s="108"/>
      <c r="D62" s="108"/>
      <c r="E62" s="109"/>
      <c r="F62" s="109"/>
      <c r="G62" s="123" t="str">
        <f t="shared" si="4"/>
        <v/>
      </c>
      <c r="H62" s="124" t="str">
        <f t="shared" si="5"/>
        <v/>
      </c>
      <c r="I62" s="110"/>
      <c r="J62" s="125" t="str">
        <f>IF($A62="","",SUMIFS(Compras!$D:$D,Compras!$B:$B,$A62))</f>
        <v/>
      </c>
      <c r="K62" s="125" t="str">
        <f>IF($A62="","",SUMIFS(Ventas!$D:$D,Ventas!$B:$B,$A62))</f>
        <v/>
      </c>
      <c r="L62" s="125" t="str">
        <f>IF($A62="","",SUMIFS(Mermas!$D:$D,Mermas!$B:$B,$A62))</f>
        <v/>
      </c>
      <c r="M62" s="125" t="str">
        <f t="shared" si="6"/>
        <v/>
      </c>
      <c r="N62" s="126" t="str">
        <f>IF($A62="","",SUMIFS(Ventas!$F:$F,Ventas!$B:$B,$A62))</f>
        <v/>
      </c>
      <c r="O62" s="129" t="str">
        <f t="shared" si="7"/>
        <v/>
      </c>
    </row>
    <row r="63" spans="1:15" ht="15" customHeight="1" x14ac:dyDescent="0.3">
      <c r="A63" s="108"/>
      <c r="B63" s="108"/>
      <c r="C63" s="108"/>
      <c r="D63" s="108"/>
      <c r="E63" s="109"/>
      <c r="F63" s="109"/>
      <c r="G63" s="123" t="str">
        <f t="shared" si="4"/>
        <v/>
      </c>
      <c r="H63" s="124" t="str">
        <f t="shared" si="5"/>
        <v/>
      </c>
      <c r="I63" s="110"/>
      <c r="J63" s="125" t="str">
        <f>IF($A63="","",SUMIFS(Compras!$D:$D,Compras!$B:$B,$A63))</f>
        <v/>
      </c>
      <c r="K63" s="125" t="str">
        <f>IF($A63="","",SUMIFS(Ventas!$D:$D,Ventas!$B:$B,$A63))</f>
        <v/>
      </c>
      <c r="L63" s="125" t="str">
        <f>IF($A63="","",SUMIFS(Mermas!$D:$D,Mermas!$B:$B,$A63))</f>
        <v/>
      </c>
      <c r="M63" s="125" t="str">
        <f t="shared" si="6"/>
        <v/>
      </c>
      <c r="N63" s="126" t="str">
        <f>IF($A63="","",SUMIFS(Ventas!$F:$F,Ventas!$B:$B,$A63))</f>
        <v/>
      </c>
      <c r="O63" s="129" t="str">
        <f t="shared" si="7"/>
        <v/>
      </c>
    </row>
    <row r="64" spans="1:15" ht="15" customHeight="1" x14ac:dyDescent="0.3">
      <c r="A64" s="108"/>
      <c r="B64" s="108"/>
      <c r="C64" s="108"/>
      <c r="D64" s="108"/>
      <c r="E64" s="109"/>
      <c r="F64" s="109"/>
      <c r="G64" s="123" t="str">
        <f t="shared" si="4"/>
        <v/>
      </c>
      <c r="H64" s="124" t="str">
        <f t="shared" si="5"/>
        <v/>
      </c>
      <c r="I64" s="110"/>
      <c r="J64" s="125" t="str">
        <f>IF($A64="","",SUMIFS(Compras!$D:$D,Compras!$B:$B,$A64))</f>
        <v/>
      </c>
      <c r="K64" s="125" t="str">
        <f>IF($A64="","",SUMIFS(Ventas!$D:$D,Ventas!$B:$B,$A64))</f>
        <v/>
      </c>
      <c r="L64" s="125" t="str">
        <f>IF($A64="","",SUMIFS(Mermas!$D:$D,Mermas!$B:$B,$A64))</f>
        <v/>
      </c>
      <c r="M64" s="125" t="str">
        <f t="shared" si="6"/>
        <v/>
      </c>
      <c r="N64" s="126" t="str">
        <f>IF($A64="","",SUMIFS(Ventas!$F:$F,Ventas!$B:$B,$A64))</f>
        <v/>
      </c>
      <c r="O64" s="129" t="str">
        <f t="shared" si="7"/>
        <v/>
      </c>
    </row>
    <row r="65" spans="1:15" ht="15" customHeight="1" x14ac:dyDescent="0.3">
      <c r="A65" s="108"/>
      <c r="B65" s="108"/>
      <c r="C65" s="108"/>
      <c r="D65" s="108"/>
      <c r="E65" s="109"/>
      <c r="F65" s="109"/>
      <c r="G65" s="123" t="str">
        <f t="shared" si="4"/>
        <v/>
      </c>
      <c r="H65" s="124" t="str">
        <f t="shared" si="5"/>
        <v/>
      </c>
      <c r="I65" s="110"/>
      <c r="J65" s="125" t="str">
        <f>IF($A65="","",SUMIFS(Compras!$D:$D,Compras!$B:$B,$A65))</f>
        <v/>
      </c>
      <c r="K65" s="125" t="str">
        <f>IF($A65="","",SUMIFS(Ventas!$D:$D,Ventas!$B:$B,$A65))</f>
        <v/>
      </c>
      <c r="L65" s="125" t="str">
        <f>IF($A65="","",SUMIFS(Mermas!$D:$D,Mermas!$B:$B,$A65))</f>
        <v/>
      </c>
      <c r="M65" s="125" t="str">
        <f t="shared" si="6"/>
        <v/>
      </c>
      <c r="N65" s="126" t="str">
        <f>IF($A65="","",SUMIFS(Ventas!$F:$F,Ventas!$B:$B,$A65))</f>
        <v/>
      </c>
      <c r="O65" s="129" t="str">
        <f t="shared" si="7"/>
        <v/>
      </c>
    </row>
    <row r="66" spans="1:15" ht="15" customHeight="1" x14ac:dyDescent="0.3">
      <c r="A66" s="108"/>
      <c r="B66" s="108"/>
      <c r="C66" s="108"/>
      <c r="D66" s="108"/>
      <c r="E66" s="109"/>
      <c r="F66" s="109"/>
      <c r="G66" s="123" t="str">
        <f t="shared" si="4"/>
        <v/>
      </c>
      <c r="H66" s="124" t="str">
        <f t="shared" si="5"/>
        <v/>
      </c>
      <c r="I66" s="110"/>
      <c r="J66" s="125" t="str">
        <f>IF($A66="","",SUMIFS(Compras!$D:$D,Compras!$B:$B,$A66))</f>
        <v/>
      </c>
      <c r="K66" s="125" t="str">
        <f>IF($A66="","",SUMIFS(Ventas!$D:$D,Ventas!$B:$B,$A66))</f>
        <v/>
      </c>
      <c r="L66" s="125" t="str">
        <f>IF($A66="","",SUMIFS(Mermas!$D:$D,Mermas!$B:$B,$A66))</f>
        <v/>
      </c>
      <c r="M66" s="125" t="str">
        <f t="shared" si="6"/>
        <v/>
      </c>
      <c r="N66" s="126" t="str">
        <f>IF($A66="","",SUMIFS(Ventas!$F:$F,Ventas!$B:$B,$A66))</f>
        <v/>
      </c>
      <c r="O66" s="129" t="str">
        <f t="shared" si="7"/>
        <v/>
      </c>
    </row>
    <row r="67" spans="1:15" ht="15" customHeight="1" x14ac:dyDescent="0.3">
      <c r="A67" s="108"/>
      <c r="B67" s="108"/>
      <c r="C67" s="108"/>
      <c r="D67" s="108"/>
      <c r="E67" s="109"/>
      <c r="F67" s="109"/>
      <c r="G67" s="123" t="str">
        <f t="shared" si="4"/>
        <v/>
      </c>
      <c r="H67" s="124" t="str">
        <f t="shared" si="5"/>
        <v/>
      </c>
      <c r="I67" s="110"/>
      <c r="J67" s="125" t="str">
        <f>IF($A67="","",SUMIFS(Compras!$D:$D,Compras!$B:$B,$A67))</f>
        <v/>
      </c>
      <c r="K67" s="125" t="str">
        <f>IF($A67="","",SUMIFS(Ventas!$D:$D,Ventas!$B:$B,$A67))</f>
        <v/>
      </c>
      <c r="L67" s="125" t="str">
        <f>IF($A67="","",SUMIFS(Mermas!$D:$D,Mermas!$B:$B,$A67))</f>
        <v/>
      </c>
      <c r="M67" s="125" t="str">
        <f t="shared" si="6"/>
        <v/>
      </c>
      <c r="N67" s="126" t="str">
        <f>IF($A67="","",SUMIFS(Ventas!$F:$F,Ventas!$B:$B,$A67))</f>
        <v/>
      </c>
      <c r="O67" s="129" t="str">
        <f t="shared" si="7"/>
        <v/>
      </c>
    </row>
    <row r="68" spans="1:15" ht="15" customHeight="1" x14ac:dyDescent="0.3">
      <c r="A68" s="108"/>
      <c r="B68" s="108"/>
      <c r="C68" s="108"/>
      <c r="D68" s="108"/>
      <c r="E68" s="109"/>
      <c r="F68" s="109"/>
      <c r="G68" s="123" t="str">
        <f t="shared" si="4"/>
        <v/>
      </c>
      <c r="H68" s="124" t="str">
        <f t="shared" si="5"/>
        <v/>
      </c>
      <c r="I68" s="110"/>
      <c r="J68" s="125" t="str">
        <f>IF($A68="","",SUMIFS(Compras!$D:$D,Compras!$B:$B,$A68))</f>
        <v/>
      </c>
      <c r="K68" s="125" t="str">
        <f>IF($A68="","",SUMIFS(Ventas!$D:$D,Ventas!$B:$B,$A68))</f>
        <v/>
      </c>
      <c r="L68" s="125" t="str">
        <f>IF($A68="","",SUMIFS(Mermas!$D:$D,Mermas!$B:$B,$A68))</f>
        <v/>
      </c>
      <c r="M68" s="125" t="str">
        <f t="shared" si="6"/>
        <v/>
      </c>
      <c r="N68" s="126" t="str">
        <f>IF($A68="","",SUMIFS(Ventas!$F:$F,Ventas!$B:$B,$A68))</f>
        <v/>
      </c>
      <c r="O68" s="129" t="str">
        <f t="shared" si="7"/>
        <v/>
      </c>
    </row>
    <row r="69" spans="1:15" ht="15" customHeight="1" x14ac:dyDescent="0.3">
      <c r="A69" s="108"/>
      <c r="B69" s="108"/>
      <c r="C69" s="108"/>
      <c r="D69" s="108"/>
      <c r="E69" s="109"/>
      <c r="F69" s="109"/>
      <c r="G69" s="123" t="str">
        <f t="shared" ref="G69:G100" si="8">IF($A69="","",F69-E69)</f>
        <v/>
      </c>
      <c r="H69" s="124" t="str">
        <f t="shared" ref="H69:H100" si="9">IF(OR($A69="",F69=0),"",G69/F69)</f>
        <v/>
      </c>
      <c r="I69" s="110"/>
      <c r="J69" s="125" t="str">
        <f>IF($A69="","",SUMIFS(Compras!$D:$D,Compras!$B:$B,$A69))</f>
        <v/>
      </c>
      <c r="K69" s="125" t="str">
        <f>IF($A69="","",SUMIFS(Ventas!$D:$D,Ventas!$B:$B,$A69))</f>
        <v/>
      </c>
      <c r="L69" s="125" t="str">
        <f>IF($A69="","",SUMIFS(Mermas!$D:$D,Mermas!$B:$B,$A69))</f>
        <v/>
      </c>
      <c r="M69" s="125" t="str">
        <f t="shared" ref="M69:M100" si="10">IF($A69="","",N(I69)+J69-K69-L69)</f>
        <v/>
      </c>
      <c r="N69" s="126" t="str">
        <f>IF($A69="","",SUMIFS(Ventas!$F:$F,Ventas!$B:$B,$A69))</f>
        <v/>
      </c>
      <c r="O69" s="129" t="str">
        <f t="shared" ref="O69:O100" si="11">IF($A69="","",IF(N69=0,"C",IF(N69&gt;=$N$126*0.6,"A",IF(N69&gt;=$N$126*0.25,"B","C"))))</f>
        <v/>
      </c>
    </row>
    <row r="70" spans="1:15" ht="15" customHeight="1" x14ac:dyDescent="0.3">
      <c r="A70" s="108"/>
      <c r="B70" s="108"/>
      <c r="C70" s="108"/>
      <c r="D70" s="108"/>
      <c r="E70" s="109"/>
      <c r="F70" s="109"/>
      <c r="G70" s="123" t="str">
        <f t="shared" si="8"/>
        <v/>
      </c>
      <c r="H70" s="124" t="str">
        <f t="shared" si="9"/>
        <v/>
      </c>
      <c r="I70" s="110"/>
      <c r="J70" s="125" t="str">
        <f>IF($A70="","",SUMIFS(Compras!$D:$D,Compras!$B:$B,$A70))</f>
        <v/>
      </c>
      <c r="K70" s="125" t="str">
        <f>IF($A70="","",SUMIFS(Ventas!$D:$D,Ventas!$B:$B,$A70))</f>
        <v/>
      </c>
      <c r="L70" s="125" t="str">
        <f>IF($A70="","",SUMIFS(Mermas!$D:$D,Mermas!$B:$B,$A70))</f>
        <v/>
      </c>
      <c r="M70" s="125" t="str">
        <f t="shared" si="10"/>
        <v/>
      </c>
      <c r="N70" s="126" t="str">
        <f>IF($A70="","",SUMIFS(Ventas!$F:$F,Ventas!$B:$B,$A70))</f>
        <v/>
      </c>
      <c r="O70" s="129" t="str">
        <f t="shared" si="11"/>
        <v/>
      </c>
    </row>
    <row r="71" spans="1:15" ht="15" customHeight="1" x14ac:dyDescent="0.3">
      <c r="A71" s="108"/>
      <c r="B71" s="108"/>
      <c r="C71" s="108"/>
      <c r="D71" s="108"/>
      <c r="E71" s="109"/>
      <c r="F71" s="109"/>
      <c r="G71" s="123" t="str">
        <f t="shared" si="8"/>
        <v/>
      </c>
      <c r="H71" s="124" t="str">
        <f t="shared" si="9"/>
        <v/>
      </c>
      <c r="I71" s="110"/>
      <c r="J71" s="125" t="str">
        <f>IF($A71="","",SUMIFS(Compras!$D:$D,Compras!$B:$B,$A71))</f>
        <v/>
      </c>
      <c r="K71" s="125" t="str">
        <f>IF($A71="","",SUMIFS(Ventas!$D:$D,Ventas!$B:$B,$A71))</f>
        <v/>
      </c>
      <c r="L71" s="125" t="str">
        <f>IF($A71="","",SUMIFS(Mermas!$D:$D,Mermas!$B:$B,$A71))</f>
        <v/>
      </c>
      <c r="M71" s="125" t="str">
        <f t="shared" si="10"/>
        <v/>
      </c>
      <c r="N71" s="126" t="str">
        <f>IF($A71="","",SUMIFS(Ventas!$F:$F,Ventas!$B:$B,$A71))</f>
        <v/>
      </c>
      <c r="O71" s="129" t="str">
        <f t="shared" si="11"/>
        <v/>
      </c>
    </row>
    <row r="72" spans="1:15" ht="15" customHeight="1" x14ac:dyDescent="0.3">
      <c r="A72" s="108"/>
      <c r="B72" s="108"/>
      <c r="C72" s="108"/>
      <c r="D72" s="108"/>
      <c r="E72" s="109"/>
      <c r="F72" s="109"/>
      <c r="G72" s="123" t="str">
        <f t="shared" si="8"/>
        <v/>
      </c>
      <c r="H72" s="124" t="str">
        <f t="shared" si="9"/>
        <v/>
      </c>
      <c r="I72" s="110"/>
      <c r="J72" s="125" t="str">
        <f>IF($A72="","",SUMIFS(Compras!$D:$D,Compras!$B:$B,$A72))</f>
        <v/>
      </c>
      <c r="K72" s="125" t="str">
        <f>IF($A72="","",SUMIFS(Ventas!$D:$D,Ventas!$B:$B,$A72))</f>
        <v/>
      </c>
      <c r="L72" s="125" t="str">
        <f>IF($A72="","",SUMIFS(Mermas!$D:$D,Mermas!$B:$B,$A72))</f>
        <v/>
      </c>
      <c r="M72" s="125" t="str">
        <f t="shared" si="10"/>
        <v/>
      </c>
      <c r="N72" s="126" t="str">
        <f>IF($A72="","",SUMIFS(Ventas!$F:$F,Ventas!$B:$B,$A72))</f>
        <v/>
      </c>
      <c r="O72" s="129" t="str">
        <f t="shared" si="11"/>
        <v/>
      </c>
    </row>
    <row r="73" spans="1:15" ht="15" customHeight="1" x14ac:dyDescent="0.3">
      <c r="A73" s="108"/>
      <c r="B73" s="108"/>
      <c r="C73" s="108"/>
      <c r="D73" s="108"/>
      <c r="E73" s="109"/>
      <c r="F73" s="109"/>
      <c r="G73" s="123" t="str">
        <f t="shared" si="8"/>
        <v/>
      </c>
      <c r="H73" s="124" t="str">
        <f t="shared" si="9"/>
        <v/>
      </c>
      <c r="I73" s="110"/>
      <c r="J73" s="125" t="str">
        <f>IF($A73="","",SUMIFS(Compras!$D:$D,Compras!$B:$B,$A73))</f>
        <v/>
      </c>
      <c r="K73" s="125" t="str">
        <f>IF($A73="","",SUMIFS(Ventas!$D:$D,Ventas!$B:$B,$A73))</f>
        <v/>
      </c>
      <c r="L73" s="125" t="str">
        <f>IF($A73="","",SUMIFS(Mermas!$D:$D,Mermas!$B:$B,$A73))</f>
        <v/>
      </c>
      <c r="M73" s="125" t="str">
        <f t="shared" si="10"/>
        <v/>
      </c>
      <c r="N73" s="126" t="str">
        <f>IF($A73="","",SUMIFS(Ventas!$F:$F,Ventas!$B:$B,$A73))</f>
        <v/>
      </c>
      <c r="O73" s="129" t="str">
        <f t="shared" si="11"/>
        <v/>
      </c>
    </row>
    <row r="74" spans="1:15" ht="15" customHeight="1" x14ac:dyDescent="0.3">
      <c r="A74" s="108"/>
      <c r="B74" s="108"/>
      <c r="C74" s="108"/>
      <c r="D74" s="108"/>
      <c r="E74" s="109"/>
      <c r="F74" s="109"/>
      <c r="G74" s="123" t="str">
        <f t="shared" si="8"/>
        <v/>
      </c>
      <c r="H74" s="124" t="str">
        <f t="shared" si="9"/>
        <v/>
      </c>
      <c r="I74" s="110"/>
      <c r="J74" s="125" t="str">
        <f>IF($A74="","",SUMIFS(Compras!$D:$D,Compras!$B:$B,$A74))</f>
        <v/>
      </c>
      <c r="K74" s="125" t="str">
        <f>IF($A74="","",SUMIFS(Ventas!$D:$D,Ventas!$B:$B,$A74))</f>
        <v/>
      </c>
      <c r="L74" s="125" t="str">
        <f>IF($A74="","",SUMIFS(Mermas!$D:$D,Mermas!$B:$B,$A74))</f>
        <v/>
      </c>
      <c r="M74" s="125" t="str">
        <f t="shared" si="10"/>
        <v/>
      </c>
      <c r="N74" s="126" t="str">
        <f>IF($A74="","",SUMIFS(Ventas!$F:$F,Ventas!$B:$B,$A74))</f>
        <v/>
      </c>
      <c r="O74" s="129" t="str">
        <f t="shared" si="11"/>
        <v/>
      </c>
    </row>
    <row r="75" spans="1:15" ht="15" customHeight="1" x14ac:dyDescent="0.3">
      <c r="A75" s="108"/>
      <c r="B75" s="108"/>
      <c r="C75" s="108"/>
      <c r="D75" s="108"/>
      <c r="E75" s="109"/>
      <c r="F75" s="109"/>
      <c r="G75" s="123" t="str">
        <f t="shared" si="8"/>
        <v/>
      </c>
      <c r="H75" s="124" t="str">
        <f t="shared" si="9"/>
        <v/>
      </c>
      <c r="I75" s="110"/>
      <c r="J75" s="125" t="str">
        <f>IF($A75="","",SUMIFS(Compras!$D:$D,Compras!$B:$B,$A75))</f>
        <v/>
      </c>
      <c r="K75" s="125" t="str">
        <f>IF($A75="","",SUMIFS(Ventas!$D:$D,Ventas!$B:$B,$A75))</f>
        <v/>
      </c>
      <c r="L75" s="125" t="str">
        <f>IF($A75="","",SUMIFS(Mermas!$D:$D,Mermas!$B:$B,$A75))</f>
        <v/>
      </c>
      <c r="M75" s="125" t="str">
        <f t="shared" si="10"/>
        <v/>
      </c>
      <c r="N75" s="126" t="str">
        <f>IF($A75="","",SUMIFS(Ventas!$F:$F,Ventas!$B:$B,$A75))</f>
        <v/>
      </c>
      <c r="O75" s="129" t="str">
        <f t="shared" si="11"/>
        <v/>
      </c>
    </row>
    <row r="76" spans="1:15" ht="15" customHeight="1" x14ac:dyDescent="0.3">
      <c r="A76" s="108"/>
      <c r="B76" s="108"/>
      <c r="C76" s="108"/>
      <c r="D76" s="108"/>
      <c r="E76" s="109"/>
      <c r="F76" s="109"/>
      <c r="G76" s="123" t="str">
        <f t="shared" si="8"/>
        <v/>
      </c>
      <c r="H76" s="124" t="str">
        <f t="shared" si="9"/>
        <v/>
      </c>
      <c r="I76" s="110"/>
      <c r="J76" s="125" t="str">
        <f>IF($A76="","",SUMIFS(Compras!$D:$D,Compras!$B:$B,$A76))</f>
        <v/>
      </c>
      <c r="K76" s="125" t="str">
        <f>IF($A76="","",SUMIFS(Ventas!$D:$D,Ventas!$B:$B,$A76))</f>
        <v/>
      </c>
      <c r="L76" s="125" t="str">
        <f>IF($A76="","",SUMIFS(Mermas!$D:$D,Mermas!$B:$B,$A76))</f>
        <v/>
      </c>
      <c r="M76" s="125" t="str">
        <f t="shared" si="10"/>
        <v/>
      </c>
      <c r="N76" s="126" t="str">
        <f>IF($A76="","",SUMIFS(Ventas!$F:$F,Ventas!$B:$B,$A76))</f>
        <v/>
      </c>
      <c r="O76" s="129" t="str">
        <f t="shared" si="11"/>
        <v/>
      </c>
    </row>
    <row r="77" spans="1:15" ht="15" customHeight="1" x14ac:dyDescent="0.3">
      <c r="A77" s="108"/>
      <c r="B77" s="108"/>
      <c r="C77" s="108"/>
      <c r="D77" s="108"/>
      <c r="E77" s="109"/>
      <c r="F77" s="109"/>
      <c r="G77" s="123" t="str">
        <f t="shared" si="8"/>
        <v/>
      </c>
      <c r="H77" s="124" t="str">
        <f t="shared" si="9"/>
        <v/>
      </c>
      <c r="I77" s="110"/>
      <c r="J77" s="125" t="str">
        <f>IF($A77="","",SUMIFS(Compras!$D:$D,Compras!$B:$B,$A77))</f>
        <v/>
      </c>
      <c r="K77" s="125" t="str">
        <f>IF($A77="","",SUMIFS(Ventas!$D:$D,Ventas!$B:$B,$A77))</f>
        <v/>
      </c>
      <c r="L77" s="125" t="str">
        <f>IF($A77="","",SUMIFS(Mermas!$D:$D,Mermas!$B:$B,$A77))</f>
        <v/>
      </c>
      <c r="M77" s="125" t="str">
        <f t="shared" si="10"/>
        <v/>
      </c>
      <c r="N77" s="126" t="str">
        <f>IF($A77="","",SUMIFS(Ventas!$F:$F,Ventas!$B:$B,$A77))</f>
        <v/>
      </c>
      <c r="O77" s="129" t="str">
        <f t="shared" si="11"/>
        <v/>
      </c>
    </row>
    <row r="78" spans="1:15" ht="15" customHeight="1" x14ac:dyDescent="0.3">
      <c r="A78" s="108"/>
      <c r="B78" s="108"/>
      <c r="C78" s="108"/>
      <c r="D78" s="108"/>
      <c r="E78" s="109"/>
      <c r="F78" s="109"/>
      <c r="G78" s="123" t="str">
        <f t="shared" si="8"/>
        <v/>
      </c>
      <c r="H78" s="124" t="str">
        <f t="shared" si="9"/>
        <v/>
      </c>
      <c r="I78" s="110"/>
      <c r="J78" s="125" t="str">
        <f>IF($A78="","",SUMIFS(Compras!$D:$D,Compras!$B:$B,$A78))</f>
        <v/>
      </c>
      <c r="K78" s="125" t="str">
        <f>IF($A78="","",SUMIFS(Ventas!$D:$D,Ventas!$B:$B,$A78))</f>
        <v/>
      </c>
      <c r="L78" s="125" t="str">
        <f>IF($A78="","",SUMIFS(Mermas!$D:$D,Mermas!$B:$B,$A78))</f>
        <v/>
      </c>
      <c r="M78" s="125" t="str">
        <f t="shared" si="10"/>
        <v/>
      </c>
      <c r="N78" s="126" t="str">
        <f>IF($A78="","",SUMIFS(Ventas!$F:$F,Ventas!$B:$B,$A78))</f>
        <v/>
      </c>
      <c r="O78" s="129" t="str">
        <f t="shared" si="11"/>
        <v/>
      </c>
    </row>
    <row r="79" spans="1:15" ht="15" customHeight="1" x14ac:dyDescent="0.3">
      <c r="A79" s="108"/>
      <c r="B79" s="108"/>
      <c r="C79" s="108"/>
      <c r="D79" s="108"/>
      <c r="E79" s="109"/>
      <c r="F79" s="109"/>
      <c r="G79" s="123" t="str">
        <f t="shared" si="8"/>
        <v/>
      </c>
      <c r="H79" s="124" t="str">
        <f t="shared" si="9"/>
        <v/>
      </c>
      <c r="I79" s="110"/>
      <c r="J79" s="125" t="str">
        <f>IF($A79="","",SUMIFS(Compras!$D:$D,Compras!$B:$B,$A79))</f>
        <v/>
      </c>
      <c r="K79" s="125" t="str">
        <f>IF($A79="","",SUMIFS(Ventas!$D:$D,Ventas!$B:$B,$A79))</f>
        <v/>
      </c>
      <c r="L79" s="125" t="str">
        <f>IF($A79="","",SUMIFS(Mermas!$D:$D,Mermas!$B:$B,$A79))</f>
        <v/>
      </c>
      <c r="M79" s="125" t="str">
        <f t="shared" si="10"/>
        <v/>
      </c>
      <c r="N79" s="126" t="str">
        <f>IF($A79="","",SUMIFS(Ventas!$F:$F,Ventas!$B:$B,$A79))</f>
        <v/>
      </c>
      <c r="O79" s="129" t="str">
        <f t="shared" si="11"/>
        <v/>
      </c>
    </row>
    <row r="80" spans="1:15" ht="15" customHeight="1" x14ac:dyDescent="0.3">
      <c r="A80" s="108"/>
      <c r="B80" s="108"/>
      <c r="C80" s="108"/>
      <c r="D80" s="108"/>
      <c r="E80" s="109"/>
      <c r="F80" s="109"/>
      <c r="G80" s="123" t="str">
        <f t="shared" si="8"/>
        <v/>
      </c>
      <c r="H80" s="124" t="str">
        <f t="shared" si="9"/>
        <v/>
      </c>
      <c r="I80" s="110"/>
      <c r="J80" s="125" t="str">
        <f>IF($A80="","",SUMIFS(Compras!$D:$D,Compras!$B:$B,$A80))</f>
        <v/>
      </c>
      <c r="K80" s="125" t="str">
        <f>IF($A80="","",SUMIFS(Ventas!$D:$D,Ventas!$B:$B,$A80))</f>
        <v/>
      </c>
      <c r="L80" s="125" t="str">
        <f>IF($A80="","",SUMIFS(Mermas!$D:$D,Mermas!$B:$B,$A80))</f>
        <v/>
      </c>
      <c r="M80" s="125" t="str">
        <f t="shared" si="10"/>
        <v/>
      </c>
      <c r="N80" s="126" t="str">
        <f>IF($A80="","",SUMIFS(Ventas!$F:$F,Ventas!$B:$B,$A80))</f>
        <v/>
      </c>
      <c r="O80" s="129" t="str">
        <f t="shared" si="11"/>
        <v/>
      </c>
    </row>
    <row r="81" spans="1:15" ht="15" customHeight="1" x14ac:dyDescent="0.3">
      <c r="A81" s="108"/>
      <c r="B81" s="108"/>
      <c r="C81" s="108"/>
      <c r="D81" s="108"/>
      <c r="E81" s="109"/>
      <c r="F81" s="109"/>
      <c r="G81" s="123" t="str">
        <f t="shared" si="8"/>
        <v/>
      </c>
      <c r="H81" s="124" t="str">
        <f t="shared" si="9"/>
        <v/>
      </c>
      <c r="I81" s="110"/>
      <c r="J81" s="125" t="str">
        <f>IF($A81="","",SUMIFS(Compras!$D:$D,Compras!$B:$B,$A81))</f>
        <v/>
      </c>
      <c r="K81" s="125" t="str">
        <f>IF($A81="","",SUMIFS(Ventas!$D:$D,Ventas!$B:$B,$A81))</f>
        <v/>
      </c>
      <c r="L81" s="125" t="str">
        <f>IF($A81="","",SUMIFS(Mermas!$D:$D,Mermas!$B:$B,$A81))</f>
        <v/>
      </c>
      <c r="M81" s="125" t="str">
        <f t="shared" si="10"/>
        <v/>
      </c>
      <c r="N81" s="126" t="str">
        <f>IF($A81="","",SUMIFS(Ventas!$F:$F,Ventas!$B:$B,$A81))</f>
        <v/>
      </c>
      <c r="O81" s="129" t="str">
        <f t="shared" si="11"/>
        <v/>
      </c>
    </row>
    <row r="82" spans="1:15" ht="15" customHeight="1" x14ac:dyDescent="0.3">
      <c r="A82" s="108"/>
      <c r="B82" s="108"/>
      <c r="C82" s="108"/>
      <c r="D82" s="108"/>
      <c r="E82" s="109"/>
      <c r="F82" s="109"/>
      <c r="G82" s="123" t="str">
        <f t="shared" si="8"/>
        <v/>
      </c>
      <c r="H82" s="124" t="str">
        <f t="shared" si="9"/>
        <v/>
      </c>
      <c r="I82" s="110"/>
      <c r="J82" s="125" t="str">
        <f>IF($A82="","",SUMIFS(Compras!$D:$D,Compras!$B:$B,$A82))</f>
        <v/>
      </c>
      <c r="K82" s="125" t="str">
        <f>IF($A82="","",SUMIFS(Ventas!$D:$D,Ventas!$B:$B,$A82))</f>
        <v/>
      </c>
      <c r="L82" s="125" t="str">
        <f>IF($A82="","",SUMIFS(Mermas!$D:$D,Mermas!$B:$B,$A82))</f>
        <v/>
      </c>
      <c r="M82" s="125" t="str">
        <f t="shared" si="10"/>
        <v/>
      </c>
      <c r="N82" s="126" t="str">
        <f>IF($A82="","",SUMIFS(Ventas!$F:$F,Ventas!$B:$B,$A82))</f>
        <v/>
      </c>
      <c r="O82" s="129" t="str">
        <f t="shared" si="11"/>
        <v/>
      </c>
    </row>
    <row r="83" spans="1:15" ht="15" customHeight="1" x14ac:dyDescent="0.3">
      <c r="A83" s="108"/>
      <c r="B83" s="108"/>
      <c r="C83" s="108"/>
      <c r="D83" s="108"/>
      <c r="E83" s="109"/>
      <c r="F83" s="109"/>
      <c r="G83" s="123" t="str">
        <f t="shared" si="8"/>
        <v/>
      </c>
      <c r="H83" s="124" t="str">
        <f t="shared" si="9"/>
        <v/>
      </c>
      <c r="I83" s="110"/>
      <c r="J83" s="125" t="str">
        <f>IF($A83="","",SUMIFS(Compras!$D:$D,Compras!$B:$B,$A83))</f>
        <v/>
      </c>
      <c r="K83" s="125" t="str">
        <f>IF($A83="","",SUMIFS(Ventas!$D:$D,Ventas!$B:$B,$A83))</f>
        <v/>
      </c>
      <c r="L83" s="125" t="str">
        <f>IF($A83="","",SUMIFS(Mermas!$D:$D,Mermas!$B:$B,$A83))</f>
        <v/>
      </c>
      <c r="M83" s="125" t="str">
        <f t="shared" si="10"/>
        <v/>
      </c>
      <c r="N83" s="126" t="str">
        <f>IF($A83="","",SUMIFS(Ventas!$F:$F,Ventas!$B:$B,$A83))</f>
        <v/>
      </c>
      <c r="O83" s="129" t="str">
        <f t="shared" si="11"/>
        <v/>
      </c>
    </row>
    <row r="84" spans="1:15" ht="15" customHeight="1" x14ac:dyDescent="0.3">
      <c r="A84" s="108"/>
      <c r="B84" s="108"/>
      <c r="C84" s="108"/>
      <c r="D84" s="108"/>
      <c r="E84" s="109"/>
      <c r="F84" s="109"/>
      <c r="G84" s="123" t="str">
        <f t="shared" si="8"/>
        <v/>
      </c>
      <c r="H84" s="124" t="str">
        <f t="shared" si="9"/>
        <v/>
      </c>
      <c r="I84" s="110"/>
      <c r="J84" s="125" t="str">
        <f>IF($A84="","",SUMIFS(Compras!$D:$D,Compras!$B:$B,$A84))</f>
        <v/>
      </c>
      <c r="K84" s="125" t="str">
        <f>IF($A84="","",SUMIFS(Ventas!$D:$D,Ventas!$B:$B,$A84))</f>
        <v/>
      </c>
      <c r="L84" s="125" t="str">
        <f>IF($A84="","",SUMIFS(Mermas!$D:$D,Mermas!$B:$B,$A84))</f>
        <v/>
      </c>
      <c r="M84" s="125" t="str">
        <f t="shared" si="10"/>
        <v/>
      </c>
      <c r="N84" s="126" t="str">
        <f>IF($A84="","",SUMIFS(Ventas!$F:$F,Ventas!$B:$B,$A84))</f>
        <v/>
      </c>
      <c r="O84" s="129" t="str">
        <f t="shared" si="11"/>
        <v/>
      </c>
    </row>
    <row r="85" spans="1:15" ht="15" customHeight="1" x14ac:dyDescent="0.3">
      <c r="A85" s="108"/>
      <c r="B85" s="108"/>
      <c r="C85" s="108"/>
      <c r="D85" s="108"/>
      <c r="E85" s="109"/>
      <c r="F85" s="109"/>
      <c r="G85" s="123" t="str">
        <f t="shared" si="8"/>
        <v/>
      </c>
      <c r="H85" s="124" t="str">
        <f t="shared" si="9"/>
        <v/>
      </c>
      <c r="I85" s="110"/>
      <c r="J85" s="125" t="str">
        <f>IF($A85="","",SUMIFS(Compras!$D:$D,Compras!$B:$B,$A85))</f>
        <v/>
      </c>
      <c r="K85" s="125" t="str">
        <f>IF($A85="","",SUMIFS(Ventas!$D:$D,Ventas!$B:$B,$A85))</f>
        <v/>
      </c>
      <c r="L85" s="125" t="str">
        <f>IF($A85="","",SUMIFS(Mermas!$D:$D,Mermas!$B:$B,$A85))</f>
        <v/>
      </c>
      <c r="M85" s="125" t="str">
        <f t="shared" si="10"/>
        <v/>
      </c>
      <c r="N85" s="126" t="str">
        <f>IF($A85="","",SUMIFS(Ventas!$F:$F,Ventas!$B:$B,$A85))</f>
        <v/>
      </c>
      <c r="O85" s="129" t="str">
        <f t="shared" si="11"/>
        <v/>
      </c>
    </row>
    <row r="86" spans="1:15" ht="15" customHeight="1" x14ac:dyDescent="0.3">
      <c r="A86" s="108"/>
      <c r="B86" s="108"/>
      <c r="C86" s="108"/>
      <c r="D86" s="108"/>
      <c r="E86" s="109"/>
      <c r="F86" s="109"/>
      <c r="G86" s="123" t="str">
        <f t="shared" si="8"/>
        <v/>
      </c>
      <c r="H86" s="124" t="str">
        <f t="shared" si="9"/>
        <v/>
      </c>
      <c r="I86" s="110"/>
      <c r="J86" s="125" t="str">
        <f>IF($A86="","",SUMIFS(Compras!$D:$D,Compras!$B:$B,$A86))</f>
        <v/>
      </c>
      <c r="K86" s="125" t="str">
        <f>IF($A86="","",SUMIFS(Ventas!$D:$D,Ventas!$B:$B,$A86))</f>
        <v/>
      </c>
      <c r="L86" s="125" t="str">
        <f>IF($A86="","",SUMIFS(Mermas!$D:$D,Mermas!$B:$B,$A86))</f>
        <v/>
      </c>
      <c r="M86" s="125" t="str">
        <f t="shared" si="10"/>
        <v/>
      </c>
      <c r="N86" s="126" t="str">
        <f>IF($A86="","",SUMIFS(Ventas!$F:$F,Ventas!$B:$B,$A86))</f>
        <v/>
      </c>
      <c r="O86" s="129" t="str">
        <f t="shared" si="11"/>
        <v/>
      </c>
    </row>
    <row r="87" spans="1:15" ht="15" customHeight="1" x14ac:dyDescent="0.3">
      <c r="A87" s="108"/>
      <c r="B87" s="108"/>
      <c r="C87" s="108"/>
      <c r="D87" s="108"/>
      <c r="E87" s="109"/>
      <c r="F87" s="109"/>
      <c r="G87" s="123" t="str">
        <f t="shared" si="8"/>
        <v/>
      </c>
      <c r="H87" s="124" t="str">
        <f t="shared" si="9"/>
        <v/>
      </c>
      <c r="I87" s="110"/>
      <c r="J87" s="125" t="str">
        <f>IF($A87="","",SUMIFS(Compras!$D:$D,Compras!$B:$B,$A87))</f>
        <v/>
      </c>
      <c r="K87" s="125" t="str">
        <f>IF($A87="","",SUMIFS(Ventas!$D:$D,Ventas!$B:$B,$A87))</f>
        <v/>
      </c>
      <c r="L87" s="125" t="str">
        <f>IF($A87="","",SUMIFS(Mermas!$D:$D,Mermas!$B:$B,$A87))</f>
        <v/>
      </c>
      <c r="M87" s="125" t="str">
        <f t="shared" si="10"/>
        <v/>
      </c>
      <c r="N87" s="126" t="str">
        <f>IF($A87="","",SUMIFS(Ventas!$F:$F,Ventas!$B:$B,$A87))</f>
        <v/>
      </c>
      <c r="O87" s="129" t="str">
        <f t="shared" si="11"/>
        <v/>
      </c>
    </row>
    <row r="88" spans="1:15" ht="15" customHeight="1" x14ac:dyDescent="0.3">
      <c r="A88" s="108"/>
      <c r="B88" s="108"/>
      <c r="C88" s="108"/>
      <c r="D88" s="108"/>
      <c r="E88" s="109"/>
      <c r="F88" s="109"/>
      <c r="G88" s="123" t="str">
        <f t="shared" si="8"/>
        <v/>
      </c>
      <c r="H88" s="124" t="str">
        <f t="shared" si="9"/>
        <v/>
      </c>
      <c r="I88" s="110"/>
      <c r="J88" s="125" t="str">
        <f>IF($A88="","",SUMIFS(Compras!$D:$D,Compras!$B:$B,$A88))</f>
        <v/>
      </c>
      <c r="K88" s="125" t="str">
        <f>IF($A88="","",SUMIFS(Ventas!$D:$D,Ventas!$B:$B,$A88))</f>
        <v/>
      </c>
      <c r="L88" s="125" t="str">
        <f>IF($A88="","",SUMIFS(Mermas!$D:$D,Mermas!$B:$B,$A88))</f>
        <v/>
      </c>
      <c r="M88" s="125" t="str">
        <f t="shared" si="10"/>
        <v/>
      </c>
      <c r="N88" s="126" t="str">
        <f>IF($A88="","",SUMIFS(Ventas!$F:$F,Ventas!$B:$B,$A88))</f>
        <v/>
      </c>
      <c r="O88" s="129" t="str">
        <f t="shared" si="11"/>
        <v/>
      </c>
    </row>
    <row r="89" spans="1:15" ht="15" customHeight="1" x14ac:dyDescent="0.3">
      <c r="A89" s="108"/>
      <c r="B89" s="108"/>
      <c r="C89" s="108"/>
      <c r="D89" s="108"/>
      <c r="E89" s="109"/>
      <c r="F89" s="109"/>
      <c r="G89" s="123" t="str">
        <f t="shared" si="8"/>
        <v/>
      </c>
      <c r="H89" s="124" t="str">
        <f t="shared" si="9"/>
        <v/>
      </c>
      <c r="I89" s="110"/>
      <c r="J89" s="125" t="str">
        <f>IF($A89="","",SUMIFS(Compras!$D:$D,Compras!$B:$B,$A89))</f>
        <v/>
      </c>
      <c r="K89" s="125" t="str">
        <f>IF($A89="","",SUMIFS(Ventas!$D:$D,Ventas!$B:$B,$A89))</f>
        <v/>
      </c>
      <c r="L89" s="125" t="str">
        <f>IF($A89="","",SUMIFS(Mermas!$D:$D,Mermas!$B:$B,$A89))</f>
        <v/>
      </c>
      <c r="M89" s="125" t="str">
        <f t="shared" si="10"/>
        <v/>
      </c>
      <c r="N89" s="126" t="str">
        <f>IF($A89="","",SUMIFS(Ventas!$F:$F,Ventas!$B:$B,$A89))</f>
        <v/>
      </c>
      <c r="O89" s="129" t="str">
        <f t="shared" si="11"/>
        <v/>
      </c>
    </row>
    <row r="90" spans="1:15" ht="15" customHeight="1" x14ac:dyDescent="0.3">
      <c r="A90" s="108"/>
      <c r="B90" s="108"/>
      <c r="C90" s="108"/>
      <c r="D90" s="108"/>
      <c r="E90" s="109"/>
      <c r="F90" s="109"/>
      <c r="G90" s="123" t="str">
        <f t="shared" si="8"/>
        <v/>
      </c>
      <c r="H90" s="124" t="str">
        <f t="shared" si="9"/>
        <v/>
      </c>
      <c r="I90" s="110"/>
      <c r="J90" s="125" t="str">
        <f>IF($A90="","",SUMIFS(Compras!$D:$D,Compras!$B:$B,$A90))</f>
        <v/>
      </c>
      <c r="K90" s="125" t="str">
        <f>IF($A90="","",SUMIFS(Ventas!$D:$D,Ventas!$B:$B,$A90))</f>
        <v/>
      </c>
      <c r="L90" s="125" t="str">
        <f>IF($A90="","",SUMIFS(Mermas!$D:$D,Mermas!$B:$B,$A90))</f>
        <v/>
      </c>
      <c r="M90" s="125" t="str">
        <f t="shared" si="10"/>
        <v/>
      </c>
      <c r="N90" s="126" t="str">
        <f>IF($A90="","",SUMIFS(Ventas!$F:$F,Ventas!$B:$B,$A90))</f>
        <v/>
      </c>
      <c r="O90" s="129" t="str">
        <f t="shared" si="11"/>
        <v/>
      </c>
    </row>
    <row r="91" spans="1:15" ht="15" customHeight="1" x14ac:dyDescent="0.3">
      <c r="A91" s="108"/>
      <c r="B91" s="108"/>
      <c r="C91" s="108"/>
      <c r="D91" s="108"/>
      <c r="E91" s="109"/>
      <c r="F91" s="109"/>
      <c r="G91" s="123" t="str">
        <f t="shared" si="8"/>
        <v/>
      </c>
      <c r="H91" s="124" t="str">
        <f t="shared" si="9"/>
        <v/>
      </c>
      <c r="I91" s="110"/>
      <c r="J91" s="125" t="str">
        <f>IF($A91="","",SUMIFS(Compras!$D:$D,Compras!$B:$B,$A91))</f>
        <v/>
      </c>
      <c r="K91" s="125" t="str">
        <f>IF($A91="","",SUMIFS(Ventas!$D:$D,Ventas!$B:$B,$A91))</f>
        <v/>
      </c>
      <c r="L91" s="125" t="str">
        <f>IF($A91="","",SUMIFS(Mermas!$D:$D,Mermas!$B:$B,$A91))</f>
        <v/>
      </c>
      <c r="M91" s="125" t="str">
        <f t="shared" si="10"/>
        <v/>
      </c>
      <c r="N91" s="126" t="str">
        <f>IF($A91="","",SUMIFS(Ventas!$F:$F,Ventas!$B:$B,$A91))</f>
        <v/>
      </c>
      <c r="O91" s="129" t="str">
        <f t="shared" si="11"/>
        <v/>
      </c>
    </row>
    <row r="92" spans="1:15" ht="15" customHeight="1" x14ac:dyDescent="0.3">
      <c r="A92" s="108"/>
      <c r="B92" s="108"/>
      <c r="C92" s="108"/>
      <c r="D92" s="108"/>
      <c r="E92" s="109"/>
      <c r="F92" s="109"/>
      <c r="G92" s="123" t="str">
        <f t="shared" si="8"/>
        <v/>
      </c>
      <c r="H92" s="124" t="str">
        <f t="shared" si="9"/>
        <v/>
      </c>
      <c r="I92" s="110"/>
      <c r="J92" s="125" t="str">
        <f>IF($A92="","",SUMIFS(Compras!$D:$D,Compras!$B:$B,$A92))</f>
        <v/>
      </c>
      <c r="K92" s="125" t="str">
        <f>IF($A92="","",SUMIFS(Ventas!$D:$D,Ventas!$B:$B,$A92))</f>
        <v/>
      </c>
      <c r="L92" s="125" t="str">
        <f>IF($A92="","",SUMIFS(Mermas!$D:$D,Mermas!$B:$B,$A92))</f>
        <v/>
      </c>
      <c r="M92" s="125" t="str">
        <f t="shared" si="10"/>
        <v/>
      </c>
      <c r="N92" s="126" t="str">
        <f>IF($A92="","",SUMIFS(Ventas!$F:$F,Ventas!$B:$B,$A92))</f>
        <v/>
      </c>
      <c r="O92" s="129" t="str">
        <f t="shared" si="11"/>
        <v/>
      </c>
    </row>
    <row r="93" spans="1:15" ht="15" customHeight="1" x14ac:dyDescent="0.3">
      <c r="A93" s="108"/>
      <c r="B93" s="108"/>
      <c r="C93" s="108"/>
      <c r="D93" s="108"/>
      <c r="E93" s="109"/>
      <c r="F93" s="109"/>
      <c r="G93" s="123" t="str">
        <f t="shared" si="8"/>
        <v/>
      </c>
      <c r="H93" s="124" t="str">
        <f t="shared" si="9"/>
        <v/>
      </c>
      <c r="I93" s="110"/>
      <c r="J93" s="125" t="str">
        <f>IF($A93="","",SUMIFS(Compras!$D:$D,Compras!$B:$B,$A93))</f>
        <v/>
      </c>
      <c r="K93" s="125" t="str">
        <f>IF($A93="","",SUMIFS(Ventas!$D:$D,Ventas!$B:$B,$A93))</f>
        <v/>
      </c>
      <c r="L93" s="125" t="str">
        <f>IF($A93="","",SUMIFS(Mermas!$D:$D,Mermas!$B:$B,$A93))</f>
        <v/>
      </c>
      <c r="M93" s="125" t="str">
        <f t="shared" si="10"/>
        <v/>
      </c>
      <c r="N93" s="126" t="str">
        <f>IF($A93="","",SUMIFS(Ventas!$F:$F,Ventas!$B:$B,$A93))</f>
        <v/>
      </c>
      <c r="O93" s="129" t="str">
        <f t="shared" si="11"/>
        <v/>
      </c>
    </row>
    <row r="94" spans="1:15" ht="15" customHeight="1" x14ac:dyDescent="0.3">
      <c r="A94" s="108"/>
      <c r="B94" s="108"/>
      <c r="C94" s="108"/>
      <c r="D94" s="108"/>
      <c r="E94" s="109"/>
      <c r="F94" s="109"/>
      <c r="G94" s="123" t="str">
        <f t="shared" si="8"/>
        <v/>
      </c>
      <c r="H94" s="124" t="str">
        <f t="shared" si="9"/>
        <v/>
      </c>
      <c r="I94" s="110"/>
      <c r="J94" s="125" t="str">
        <f>IF($A94="","",SUMIFS(Compras!$D:$D,Compras!$B:$B,$A94))</f>
        <v/>
      </c>
      <c r="K94" s="125" t="str">
        <f>IF($A94="","",SUMIFS(Ventas!$D:$D,Ventas!$B:$B,$A94))</f>
        <v/>
      </c>
      <c r="L94" s="125" t="str">
        <f>IF($A94="","",SUMIFS(Mermas!$D:$D,Mermas!$B:$B,$A94))</f>
        <v/>
      </c>
      <c r="M94" s="125" t="str">
        <f t="shared" si="10"/>
        <v/>
      </c>
      <c r="N94" s="126" t="str">
        <f>IF($A94="","",SUMIFS(Ventas!$F:$F,Ventas!$B:$B,$A94))</f>
        <v/>
      </c>
      <c r="O94" s="129" t="str">
        <f t="shared" si="11"/>
        <v/>
      </c>
    </row>
    <row r="95" spans="1:15" ht="15" customHeight="1" x14ac:dyDescent="0.3">
      <c r="A95" s="108"/>
      <c r="B95" s="108"/>
      <c r="C95" s="108"/>
      <c r="D95" s="108"/>
      <c r="E95" s="109"/>
      <c r="F95" s="109"/>
      <c r="G95" s="123" t="str">
        <f t="shared" si="8"/>
        <v/>
      </c>
      <c r="H95" s="124" t="str">
        <f t="shared" si="9"/>
        <v/>
      </c>
      <c r="I95" s="110"/>
      <c r="J95" s="125" t="str">
        <f>IF($A95="","",SUMIFS(Compras!$D:$D,Compras!$B:$B,$A95))</f>
        <v/>
      </c>
      <c r="K95" s="125" t="str">
        <f>IF($A95="","",SUMIFS(Ventas!$D:$D,Ventas!$B:$B,$A95))</f>
        <v/>
      </c>
      <c r="L95" s="125" t="str">
        <f>IF($A95="","",SUMIFS(Mermas!$D:$D,Mermas!$B:$B,$A95))</f>
        <v/>
      </c>
      <c r="M95" s="125" t="str">
        <f t="shared" si="10"/>
        <v/>
      </c>
      <c r="N95" s="126" t="str">
        <f>IF($A95="","",SUMIFS(Ventas!$F:$F,Ventas!$B:$B,$A95))</f>
        <v/>
      </c>
      <c r="O95" s="129" t="str">
        <f t="shared" si="11"/>
        <v/>
      </c>
    </row>
    <row r="96" spans="1:15" ht="15" customHeight="1" x14ac:dyDescent="0.3">
      <c r="A96" s="108"/>
      <c r="B96" s="108"/>
      <c r="C96" s="108"/>
      <c r="D96" s="108"/>
      <c r="E96" s="109"/>
      <c r="F96" s="109"/>
      <c r="G96" s="123" t="str">
        <f t="shared" si="8"/>
        <v/>
      </c>
      <c r="H96" s="124" t="str">
        <f t="shared" si="9"/>
        <v/>
      </c>
      <c r="I96" s="110"/>
      <c r="J96" s="125" t="str">
        <f>IF($A96="","",SUMIFS(Compras!$D:$D,Compras!$B:$B,$A96))</f>
        <v/>
      </c>
      <c r="K96" s="125" t="str">
        <f>IF($A96="","",SUMIFS(Ventas!$D:$D,Ventas!$B:$B,$A96))</f>
        <v/>
      </c>
      <c r="L96" s="125" t="str">
        <f>IF($A96="","",SUMIFS(Mermas!$D:$D,Mermas!$B:$B,$A96))</f>
        <v/>
      </c>
      <c r="M96" s="125" t="str">
        <f t="shared" si="10"/>
        <v/>
      </c>
      <c r="N96" s="126" t="str">
        <f>IF($A96="","",SUMIFS(Ventas!$F:$F,Ventas!$B:$B,$A96))</f>
        <v/>
      </c>
      <c r="O96" s="129" t="str">
        <f t="shared" si="11"/>
        <v/>
      </c>
    </row>
    <row r="97" spans="1:15" ht="15" customHeight="1" x14ac:dyDescent="0.3">
      <c r="A97" s="108"/>
      <c r="B97" s="108"/>
      <c r="C97" s="108"/>
      <c r="D97" s="108"/>
      <c r="E97" s="109"/>
      <c r="F97" s="109"/>
      <c r="G97" s="123" t="str">
        <f t="shared" si="8"/>
        <v/>
      </c>
      <c r="H97" s="124" t="str">
        <f t="shared" si="9"/>
        <v/>
      </c>
      <c r="I97" s="110"/>
      <c r="J97" s="125" t="str">
        <f>IF($A97="","",SUMIFS(Compras!$D:$D,Compras!$B:$B,$A97))</f>
        <v/>
      </c>
      <c r="K97" s="125" t="str">
        <f>IF($A97="","",SUMIFS(Ventas!$D:$D,Ventas!$B:$B,$A97))</f>
        <v/>
      </c>
      <c r="L97" s="125" t="str">
        <f>IF($A97="","",SUMIFS(Mermas!$D:$D,Mermas!$B:$B,$A97))</f>
        <v/>
      </c>
      <c r="M97" s="125" t="str">
        <f t="shared" si="10"/>
        <v/>
      </c>
      <c r="N97" s="126" t="str">
        <f>IF($A97="","",SUMIFS(Ventas!$F:$F,Ventas!$B:$B,$A97))</f>
        <v/>
      </c>
      <c r="O97" s="129" t="str">
        <f t="shared" si="11"/>
        <v/>
      </c>
    </row>
    <row r="98" spans="1:15" ht="15" customHeight="1" x14ac:dyDescent="0.3">
      <c r="A98" s="108"/>
      <c r="B98" s="108"/>
      <c r="C98" s="108"/>
      <c r="D98" s="108"/>
      <c r="E98" s="109"/>
      <c r="F98" s="109"/>
      <c r="G98" s="123" t="str">
        <f t="shared" si="8"/>
        <v/>
      </c>
      <c r="H98" s="124" t="str">
        <f t="shared" si="9"/>
        <v/>
      </c>
      <c r="I98" s="110"/>
      <c r="J98" s="125" t="str">
        <f>IF($A98="","",SUMIFS(Compras!$D:$D,Compras!$B:$B,$A98))</f>
        <v/>
      </c>
      <c r="K98" s="125" t="str">
        <f>IF($A98="","",SUMIFS(Ventas!$D:$D,Ventas!$B:$B,$A98))</f>
        <v/>
      </c>
      <c r="L98" s="125" t="str">
        <f>IF($A98="","",SUMIFS(Mermas!$D:$D,Mermas!$B:$B,$A98))</f>
        <v/>
      </c>
      <c r="M98" s="125" t="str">
        <f t="shared" si="10"/>
        <v/>
      </c>
      <c r="N98" s="126" t="str">
        <f>IF($A98="","",SUMIFS(Ventas!$F:$F,Ventas!$B:$B,$A98))</f>
        <v/>
      </c>
      <c r="O98" s="129" t="str">
        <f t="shared" si="11"/>
        <v/>
      </c>
    </row>
    <row r="99" spans="1:15" ht="15" customHeight="1" x14ac:dyDescent="0.3">
      <c r="A99" s="108"/>
      <c r="B99" s="108"/>
      <c r="C99" s="108"/>
      <c r="D99" s="108"/>
      <c r="E99" s="109"/>
      <c r="F99" s="109"/>
      <c r="G99" s="123" t="str">
        <f t="shared" si="8"/>
        <v/>
      </c>
      <c r="H99" s="124" t="str">
        <f t="shared" si="9"/>
        <v/>
      </c>
      <c r="I99" s="110"/>
      <c r="J99" s="125" t="str">
        <f>IF($A99="","",SUMIFS(Compras!$D:$D,Compras!$B:$B,$A99))</f>
        <v/>
      </c>
      <c r="K99" s="125" t="str">
        <f>IF($A99="","",SUMIFS(Ventas!$D:$D,Ventas!$B:$B,$A99))</f>
        <v/>
      </c>
      <c r="L99" s="125" t="str">
        <f>IF($A99="","",SUMIFS(Mermas!$D:$D,Mermas!$B:$B,$A99))</f>
        <v/>
      </c>
      <c r="M99" s="125" t="str">
        <f t="shared" si="10"/>
        <v/>
      </c>
      <c r="N99" s="126" t="str">
        <f>IF($A99="","",SUMIFS(Ventas!$F:$F,Ventas!$B:$B,$A99))</f>
        <v/>
      </c>
      <c r="O99" s="129" t="str">
        <f t="shared" si="11"/>
        <v/>
      </c>
    </row>
    <row r="100" spans="1:15" ht="15" customHeight="1" x14ac:dyDescent="0.3">
      <c r="A100" s="108"/>
      <c r="B100" s="108"/>
      <c r="C100" s="108"/>
      <c r="D100" s="108"/>
      <c r="E100" s="109"/>
      <c r="F100" s="109"/>
      <c r="G100" s="123" t="str">
        <f t="shared" si="8"/>
        <v/>
      </c>
      <c r="H100" s="124" t="str">
        <f t="shared" si="9"/>
        <v/>
      </c>
      <c r="I100" s="110"/>
      <c r="J100" s="125" t="str">
        <f>IF($A100="","",SUMIFS(Compras!$D:$D,Compras!$B:$B,$A100))</f>
        <v/>
      </c>
      <c r="K100" s="125" t="str">
        <f>IF($A100="","",SUMIFS(Ventas!$D:$D,Ventas!$B:$B,$A100))</f>
        <v/>
      </c>
      <c r="L100" s="125" t="str">
        <f>IF($A100="","",SUMIFS(Mermas!$D:$D,Mermas!$B:$B,$A100))</f>
        <v/>
      </c>
      <c r="M100" s="125" t="str">
        <f t="shared" si="10"/>
        <v/>
      </c>
      <c r="N100" s="126" t="str">
        <f>IF($A100="","",SUMIFS(Ventas!$F:$F,Ventas!$B:$B,$A100))</f>
        <v/>
      </c>
      <c r="O100" s="129" t="str">
        <f t="shared" si="11"/>
        <v/>
      </c>
    </row>
    <row r="101" spans="1:15" ht="15" customHeight="1" x14ac:dyDescent="0.3">
      <c r="A101" s="108"/>
      <c r="B101" s="108"/>
      <c r="C101" s="108"/>
      <c r="D101" s="108"/>
      <c r="E101" s="109"/>
      <c r="F101" s="109"/>
      <c r="G101" s="123" t="str">
        <f t="shared" ref="G101:G124" si="12">IF($A101="","",F101-E101)</f>
        <v/>
      </c>
      <c r="H101" s="124" t="str">
        <f t="shared" ref="H101:H124" si="13">IF(OR($A101="",F101=0),"",G101/F101)</f>
        <v/>
      </c>
      <c r="I101" s="110"/>
      <c r="J101" s="125" t="str">
        <f>IF($A101="","",SUMIFS(Compras!$D:$D,Compras!$B:$B,$A101))</f>
        <v/>
      </c>
      <c r="K101" s="125" t="str">
        <f>IF($A101="","",SUMIFS(Ventas!$D:$D,Ventas!$B:$B,$A101))</f>
        <v/>
      </c>
      <c r="L101" s="125" t="str">
        <f>IF($A101="","",SUMIFS(Mermas!$D:$D,Mermas!$B:$B,$A101))</f>
        <v/>
      </c>
      <c r="M101" s="125" t="str">
        <f t="shared" ref="M101:M124" si="14">IF($A101="","",N(I101)+J101-K101-L101)</f>
        <v/>
      </c>
      <c r="N101" s="126" t="str">
        <f>IF($A101="","",SUMIFS(Ventas!$F:$F,Ventas!$B:$B,$A101))</f>
        <v/>
      </c>
      <c r="O101" s="129" t="str">
        <f t="shared" ref="O101:O124" si="15">IF($A101="","",IF(N101=0,"C",IF(N101&gt;=$N$126*0.6,"A",IF(N101&gt;=$N$126*0.25,"B","C"))))</f>
        <v/>
      </c>
    </row>
    <row r="102" spans="1:15" ht="15" customHeight="1" x14ac:dyDescent="0.3">
      <c r="A102" s="108"/>
      <c r="B102" s="108"/>
      <c r="C102" s="108"/>
      <c r="D102" s="108"/>
      <c r="E102" s="109"/>
      <c r="F102" s="109"/>
      <c r="G102" s="123" t="str">
        <f t="shared" si="12"/>
        <v/>
      </c>
      <c r="H102" s="124" t="str">
        <f t="shared" si="13"/>
        <v/>
      </c>
      <c r="I102" s="110"/>
      <c r="J102" s="125" t="str">
        <f>IF($A102="","",SUMIFS(Compras!$D:$D,Compras!$B:$B,$A102))</f>
        <v/>
      </c>
      <c r="K102" s="125" t="str">
        <f>IF($A102="","",SUMIFS(Ventas!$D:$D,Ventas!$B:$B,$A102))</f>
        <v/>
      </c>
      <c r="L102" s="125" t="str">
        <f>IF($A102="","",SUMIFS(Mermas!$D:$D,Mermas!$B:$B,$A102))</f>
        <v/>
      </c>
      <c r="M102" s="125" t="str">
        <f t="shared" si="14"/>
        <v/>
      </c>
      <c r="N102" s="126" t="str">
        <f>IF($A102="","",SUMIFS(Ventas!$F:$F,Ventas!$B:$B,$A102))</f>
        <v/>
      </c>
      <c r="O102" s="129" t="str">
        <f t="shared" si="15"/>
        <v/>
      </c>
    </row>
    <row r="103" spans="1:15" ht="15" customHeight="1" x14ac:dyDescent="0.3">
      <c r="A103" s="108"/>
      <c r="B103" s="108"/>
      <c r="C103" s="108"/>
      <c r="D103" s="108"/>
      <c r="E103" s="109"/>
      <c r="F103" s="109"/>
      <c r="G103" s="123" t="str">
        <f t="shared" si="12"/>
        <v/>
      </c>
      <c r="H103" s="124" t="str">
        <f t="shared" si="13"/>
        <v/>
      </c>
      <c r="I103" s="110"/>
      <c r="J103" s="125" t="str">
        <f>IF($A103="","",SUMIFS(Compras!$D:$D,Compras!$B:$B,$A103))</f>
        <v/>
      </c>
      <c r="K103" s="125" t="str">
        <f>IF($A103="","",SUMIFS(Ventas!$D:$D,Ventas!$B:$B,$A103))</f>
        <v/>
      </c>
      <c r="L103" s="125" t="str">
        <f>IF($A103="","",SUMIFS(Mermas!$D:$D,Mermas!$B:$B,$A103))</f>
        <v/>
      </c>
      <c r="M103" s="125" t="str">
        <f t="shared" si="14"/>
        <v/>
      </c>
      <c r="N103" s="126" t="str">
        <f>IF($A103="","",SUMIFS(Ventas!$F:$F,Ventas!$B:$B,$A103))</f>
        <v/>
      </c>
      <c r="O103" s="129" t="str">
        <f t="shared" si="15"/>
        <v/>
      </c>
    </row>
    <row r="104" spans="1:15" ht="15" customHeight="1" x14ac:dyDescent="0.3">
      <c r="A104" s="108"/>
      <c r="B104" s="108"/>
      <c r="C104" s="108"/>
      <c r="D104" s="108"/>
      <c r="E104" s="109"/>
      <c r="F104" s="109"/>
      <c r="G104" s="123" t="str">
        <f t="shared" si="12"/>
        <v/>
      </c>
      <c r="H104" s="124" t="str">
        <f t="shared" si="13"/>
        <v/>
      </c>
      <c r="I104" s="110"/>
      <c r="J104" s="125" t="str">
        <f>IF($A104="","",SUMIFS(Compras!$D:$D,Compras!$B:$B,$A104))</f>
        <v/>
      </c>
      <c r="K104" s="125" t="str">
        <f>IF($A104="","",SUMIFS(Ventas!$D:$D,Ventas!$B:$B,$A104))</f>
        <v/>
      </c>
      <c r="L104" s="125" t="str">
        <f>IF($A104="","",SUMIFS(Mermas!$D:$D,Mermas!$B:$B,$A104))</f>
        <v/>
      </c>
      <c r="M104" s="125" t="str">
        <f t="shared" si="14"/>
        <v/>
      </c>
      <c r="N104" s="126" t="str">
        <f>IF($A104="","",SUMIFS(Ventas!$F:$F,Ventas!$B:$B,$A104))</f>
        <v/>
      </c>
      <c r="O104" s="129" t="str">
        <f t="shared" si="15"/>
        <v/>
      </c>
    </row>
    <row r="105" spans="1:15" ht="15" customHeight="1" x14ac:dyDescent="0.3">
      <c r="A105" s="108"/>
      <c r="B105" s="108"/>
      <c r="C105" s="108"/>
      <c r="D105" s="108"/>
      <c r="E105" s="109"/>
      <c r="F105" s="109"/>
      <c r="G105" s="123" t="str">
        <f t="shared" si="12"/>
        <v/>
      </c>
      <c r="H105" s="124" t="str">
        <f t="shared" si="13"/>
        <v/>
      </c>
      <c r="I105" s="110"/>
      <c r="J105" s="125" t="str">
        <f>IF($A105="","",SUMIFS(Compras!$D:$D,Compras!$B:$B,$A105))</f>
        <v/>
      </c>
      <c r="K105" s="125" t="str">
        <f>IF($A105="","",SUMIFS(Ventas!$D:$D,Ventas!$B:$B,$A105))</f>
        <v/>
      </c>
      <c r="L105" s="125" t="str">
        <f>IF($A105="","",SUMIFS(Mermas!$D:$D,Mermas!$B:$B,$A105))</f>
        <v/>
      </c>
      <c r="M105" s="125" t="str">
        <f t="shared" si="14"/>
        <v/>
      </c>
      <c r="N105" s="126" t="str">
        <f>IF($A105="","",SUMIFS(Ventas!$F:$F,Ventas!$B:$B,$A105))</f>
        <v/>
      </c>
      <c r="O105" s="129" t="str">
        <f t="shared" si="15"/>
        <v/>
      </c>
    </row>
    <row r="106" spans="1:15" ht="15" customHeight="1" x14ac:dyDescent="0.3">
      <c r="A106" s="108"/>
      <c r="B106" s="108"/>
      <c r="C106" s="108"/>
      <c r="D106" s="108"/>
      <c r="E106" s="109"/>
      <c r="F106" s="109"/>
      <c r="G106" s="123" t="str">
        <f t="shared" si="12"/>
        <v/>
      </c>
      <c r="H106" s="124" t="str">
        <f t="shared" si="13"/>
        <v/>
      </c>
      <c r="I106" s="110"/>
      <c r="J106" s="125" t="str">
        <f>IF($A106="","",SUMIFS(Compras!$D:$D,Compras!$B:$B,$A106))</f>
        <v/>
      </c>
      <c r="K106" s="125" t="str">
        <f>IF($A106="","",SUMIFS(Ventas!$D:$D,Ventas!$B:$B,$A106))</f>
        <v/>
      </c>
      <c r="L106" s="125" t="str">
        <f>IF($A106="","",SUMIFS(Mermas!$D:$D,Mermas!$B:$B,$A106))</f>
        <v/>
      </c>
      <c r="M106" s="125" t="str">
        <f t="shared" si="14"/>
        <v/>
      </c>
      <c r="N106" s="126" t="str">
        <f>IF($A106="","",SUMIFS(Ventas!$F:$F,Ventas!$B:$B,$A106))</f>
        <v/>
      </c>
      <c r="O106" s="129" t="str">
        <f t="shared" si="15"/>
        <v/>
      </c>
    </row>
    <row r="107" spans="1:15" ht="15" customHeight="1" x14ac:dyDescent="0.3">
      <c r="A107" s="108"/>
      <c r="B107" s="108"/>
      <c r="C107" s="108"/>
      <c r="D107" s="108"/>
      <c r="E107" s="109"/>
      <c r="F107" s="109"/>
      <c r="G107" s="123" t="str">
        <f t="shared" si="12"/>
        <v/>
      </c>
      <c r="H107" s="124" t="str">
        <f t="shared" si="13"/>
        <v/>
      </c>
      <c r="I107" s="110"/>
      <c r="J107" s="125" t="str">
        <f>IF($A107="","",SUMIFS(Compras!$D:$D,Compras!$B:$B,$A107))</f>
        <v/>
      </c>
      <c r="K107" s="125" t="str">
        <f>IF($A107="","",SUMIFS(Ventas!$D:$D,Ventas!$B:$B,$A107))</f>
        <v/>
      </c>
      <c r="L107" s="125" t="str">
        <f>IF($A107="","",SUMIFS(Mermas!$D:$D,Mermas!$B:$B,$A107))</f>
        <v/>
      </c>
      <c r="M107" s="125" t="str">
        <f t="shared" si="14"/>
        <v/>
      </c>
      <c r="N107" s="126" t="str">
        <f>IF($A107="","",SUMIFS(Ventas!$F:$F,Ventas!$B:$B,$A107))</f>
        <v/>
      </c>
      <c r="O107" s="129" t="str">
        <f t="shared" si="15"/>
        <v/>
      </c>
    </row>
    <row r="108" spans="1:15" ht="15" customHeight="1" x14ac:dyDescent="0.3">
      <c r="A108" s="108"/>
      <c r="B108" s="108"/>
      <c r="C108" s="108"/>
      <c r="D108" s="108"/>
      <c r="E108" s="109"/>
      <c r="F108" s="109"/>
      <c r="G108" s="123" t="str">
        <f t="shared" si="12"/>
        <v/>
      </c>
      <c r="H108" s="124" t="str">
        <f t="shared" si="13"/>
        <v/>
      </c>
      <c r="I108" s="110"/>
      <c r="J108" s="125" t="str">
        <f>IF($A108="","",SUMIFS(Compras!$D:$D,Compras!$B:$B,$A108))</f>
        <v/>
      </c>
      <c r="K108" s="125" t="str">
        <f>IF($A108="","",SUMIFS(Ventas!$D:$D,Ventas!$B:$B,$A108))</f>
        <v/>
      </c>
      <c r="L108" s="125" t="str">
        <f>IF($A108="","",SUMIFS(Mermas!$D:$D,Mermas!$B:$B,$A108))</f>
        <v/>
      </c>
      <c r="M108" s="125" t="str">
        <f t="shared" si="14"/>
        <v/>
      </c>
      <c r="N108" s="126" t="str">
        <f>IF($A108="","",SUMIFS(Ventas!$F:$F,Ventas!$B:$B,$A108))</f>
        <v/>
      </c>
      <c r="O108" s="129" t="str">
        <f t="shared" si="15"/>
        <v/>
      </c>
    </row>
    <row r="109" spans="1:15" ht="15" customHeight="1" x14ac:dyDescent="0.3">
      <c r="A109" s="108"/>
      <c r="B109" s="108"/>
      <c r="C109" s="108"/>
      <c r="D109" s="108"/>
      <c r="E109" s="109"/>
      <c r="F109" s="109"/>
      <c r="G109" s="123" t="str">
        <f t="shared" si="12"/>
        <v/>
      </c>
      <c r="H109" s="124" t="str">
        <f t="shared" si="13"/>
        <v/>
      </c>
      <c r="I109" s="110"/>
      <c r="J109" s="125" t="str">
        <f>IF($A109="","",SUMIFS(Compras!$D:$D,Compras!$B:$B,$A109))</f>
        <v/>
      </c>
      <c r="K109" s="125" t="str">
        <f>IF($A109="","",SUMIFS(Ventas!$D:$D,Ventas!$B:$B,$A109))</f>
        <v/>
      </c>
      <c r="L109" s="125" t="str">
        <f>IF($A109="","",SUMIFS(Mermas!$D:$D,Mermas!$B:$B,$A109))</f>
        <v/>
      </c>
      <c r="M109" s="125" t="str">
        <f t="shared" si="14"/>
        <v/>
      </c>
      <c r="N109" s="126" t="str">
        <f>IF($A109="","",SUMIFS(Ventas!$F:$F,Ventas!$B:$B,$A109))</f>
        <v/>
      </c>
      <c r="O109" s="129" t="str">
        <f t="shared" si="15"/>
        <v/>
      </c>
    </row>
    <row r="110" spans="1:15" ht="15" customHeight="1" x14ac:dyDescent="0.3">
      <c r="A110" s="108"/>
      <c r="B110" s="108"/>
      <c r="C110" s="108"/>
      <c r="D110" s="108"/>
      <c r="E110" s="109"/>
      <c r="F110" s="109"/>
      <c r="G110" s="123" t="str">
        <f t="shared" si="12"/>
        <v/>
      </c>
      <c r="H110" s="124" t="str">
        <f t="shared" si="13"/>
        <v/>
      </c>
      <c r="I110" s="110"/>
      <c r="J110" s="125" t="str">
        <f>IF($A110="","",SUMIFS(Compras!$D:$D,Compras!$B:$B,$A110))</f>
        <v/>
      </c>
      <c r="K110" s="125" t="str">
        <f>IF($A110="","",SUMIFS(Ventas!$D:$D,Ventas!$B:$B,$A110))</f>
        <v/>
      </c>
      <c r="L110" s="125" t="str">
        <f>IF($A110="","",SUMIFS(Mermas!$D:$D,Mermas!$B:$B,$A110))</f>
        <v/>
      </c>
      <c r="M110" s="125" t="str">
        <f t="shared" si="14"/>
        <v/>
      </c>
      <c r="N110" s="126" t="str">
        <f>IF($A110="","",SUMIFS(Ventas!$F:$F,Ventas!$B:$B,$A110))</f>
        <v/>
      </c>
      <c r="O110" s="129" t="str">
        <f t="shared" si="15"/>
        <v/>
      </c>
    </row>
    <row r="111" spans="1:15" ht="15" customHeight="1" x14ac:dyDescent="0.3">
      <c r="A111" s="108"/>
      <c r="B111" s="108"/>
      <c r="C111" s="108"/>
      <c r="D111" s="108"/>
      <c r="E111" s="109"/>
      <c r="F111" s="109"/>
      <c r="G111" s="123" t="str">
        <f t="shared" si="12"/>
        <v/>
      </c>
      <c r="H111" s="124" t="str">
        <f t="shared" si="13"/>
        <v/>
      </c>
      <c r="I111" s="110"/>
      <c r="J111" s="125" t="str">
        <f>IF($A111="","",SUMIFS(Compras!$D:$D,Compras!$B:$B,$A111))</f>
        <v/>
      </c>
      <c r="K111" s="125" t="str">
        <f>IF($A111="","",SUMIFS(Ventas!$D:$D,Ventas!$B:$B,$A111))</f>
        <v/>
      </c>
      <c r="L111" s="125" t="str">
        <f>IF($A111="","",SUMIFS(Mermas!$D:$D,Mermas!$B:$B,$A111))</f>
        <v/>
      </c>
      <c r="M111" s="125" t="str">
        <f t="shared" si="14"/>
        <v/>
      </c>
      <c r="N111" s="126" t="str">
        <f>IF($A111="","",SUMIFS(Ventas!$F:$F,Ventas!$B:$B,$A111))</f>
        <v/>
      </c>
      <c r="O111" s="129" t="str">
        <f t="shared" si="15"/>
        <v/>
      </c>
    </row>
    <row r="112" spans="1:15" ht="15" customHeight="1" x14ac:dyDescent="0.3">
      <c r="A112" s="108"/>
      <c r="B112" s="108"/>
      <c r="C112" s="108"/>
      <c r="D112" s="108"/>
      <c r="E112" s="109"/>
      <c r="F112" s="109"/>
      <c r="G112" s="123" t="str">
        <f t="shared" si="12"/>
        <v/>
      </c>
      <c r="H112" s="124" t="str">
        <f t="shared" si="13"/>
        <v/>
      </c>
      <c r="I112" s="110"/>
      <c r="J112" s="125" t="str">
        <f>IF($A112="","",SUMIFS(Compras!$D:$D,Compras!$B:$B,$A112))</f>
        <v/>
      </c>
      <c r="K112" s="125" t="str">
        <f>IF($A112="","",SUMIFS(Ventas!$D:$D,Ventas!$B:$B,$A112))</f>
        <v/>
      </c>
      <c r="L112" s="125" t="str">
        <f>IF($A112="","",SUMIFS(Mermas!$D:$D,Mermas!$B:$B,$A112))</f>
        <v/>
      </c>
      <c r="M112" s="125" t="str">
        <f t="shared" si="14"/>
        <v/>
      </c>
      <c r="N112" s="126" t="str">
        <f>IF($A112="","",SUMIFS(Ventas!$F:$F,Ventas!$B:$B,$A112))</f>
        <v/>
      </c>
      <c r="O112" s="129" t="str">
        <f t="shared" si="15"/>
        <v/>
      </c>
    </row>
    <row r="113" spans="1:15" ht="15" customHeight="1" x14ac:dyDescent="0.3">
      <c r="A113" s="108"/>
      <c r="B113" s="108"/>
      <c r="C113" s="108"/>
      <c r="D113" s="108"/>
      <c r="E113" s="109"/>
      <c r="F113" s="109"/>
      <c r="G113" s="123" t="str">
        <f t="shared" si="12"/>
        <v/>
      </c>
      <c r="H113" s="124" t="str">
        <f t="shared" si="13"/>
        <v/>
      </c>
      <c r="I113" s="110"/>
      <c r="J113" s="125" t="str">
        <f>IF($A113="","",SUMIFS(Compras!$D:$D,Compras!$B:$B,$A113))</f>
        <v/>
      </c>
      <c r="K113" s="125" t="str">
        <f>IF($A113="","",SUMIFS(Ventas!$D:$D,Ventas!$B:$B,$A113))</f>
        <v/>
      </c>
      <c r="L113" s="125" t="str">
        <f>IF($A113="","",SUMIFS(Mermas!$D:$D,Mermas!$B:$B,$A113))</f>
        <v/>
      </c>
      <c r="M113" s="125" t="str">
        <f t="shared" si="14"/>
        <v/>
      </c>
      <c r="N113" s="126" t="str">
        <f>IF($A113="","",SUMIFS(Ventas!$F:$F,Ventas!$B:$B,$A113))</f>
        <v/>
      </c>
      <c r="O113" s="129" t="str">
        <f t="shared" si="15"/>
        <v/>
      </c>
    </row>
    <row r="114" spans="1:15" ht="15" customHeight="1" x14ac:dyDescent="0.3">
      <c r="A114" s="108"/>
      <c r="B114" s="108"/>
      <c r="C114" s="108"/>
      <c r="D114" s="108"/>
      <c r="E114" s="109"/>
      <c r="F114" s="109"/>
      <c r="G114" s="123" t="str">
        <f t="shared" si="12"/>
        <v/>
      </c>
      <c r="H114" s="124" t="str">
        <f t="shared" si="13"/>
        <v/>
      </c>
      <c r="I114" s="110"/>
      <c r="J114" s="125" t="str">
        <f>IF($A114="","",SUMIFS(Compras!$D:$D,Compras!$B:$B,$A114))</f>
        <v/>
      </c>
      <c r="K114" s="125" t="str">
        <f>IF($A114="","",SUMIFS(Ventas!$D:$D,Ventas!$B:$B,$A114))</f>
        <v/>
      </c>
      <c r="L114" s="125" t="str">
        <f>IF($A114="","",SUMIFS(Mermas!$D:$D,Mermas!$B:$B,$A114))</f>
        <v/>
      </c>
      <c r="M114" s="125" t="str">
        <f t="shared" si="14"/>
        <v/>
      </c>
      <c r="N114" s="126" t="str">
        <f>IF($A114="","",SUMIFS(Ventas!$F:$F,Ventas!$B:$B,$A114))</f>
        <v/>
      </c>
      <c r="O114" s="129" t="str">
        <f t="shared" si="15"/>
        <v/>
      </c>
    </row>
    <row r="115" spans="1:15" ht="15" customHeight="1" x14ac:dyDescent="0.3">
      <c r="A115" s="108"/>
      <c r="B115" s="108"/>
      <c r="C115" s="108"/>
      <c r="D115" s="108"/>
      <c r="E115" s="109"/>
      <c r="F115" s="109"/>
      <c r="G115" s="123" t="str">
        <f t="shared" si="12"/>
        <v/>
      </c>
      <c r="H115" s="124" t="str">
        <f t="shared" si="13"/>
        <v/>
      </c>
      <c r="I115" s="110"/>
      <c r="J115" s="125" t="str">
        <f>IF($A115="","",SUMIFS(Compras!$D:$D,Compras!$B:$B,$A115))</f>
        <v/>
      </c>
      <c r="K115" s="125" t="str">
        <f>IF($A115="","",SUMIFS(Ventas!$D:$D,Ventas!$B:$B,$A115))</f>
        <v/>
      </c>
      <c r="L115" s="125" t="str">
        <f>IF($A115="","",SUMIFS(Mermas!$D:$D,Mermas!$B:$B,$A115))</f>
        <v/>
      </c>
      <c r="M115" s="125" t="str">
        <f t="shared" si="14"/>
        <v/>
      </c>
      <c r="N115" s="126" t="str">
        <f>IF($A115="","",SUMIFS(Ventas!$F:$F,Ventas!$B:$B,$A115))</f>
        <v/>
      </c>
      <c r="O115" s="129" t="str">
        <f t="shared" si="15"/>
        <v/>
      </c>
    </row>
    <row r="116" spans="1:15" ht="15" customHeight="1" x14ac:dyDescent="0.3">
      <c r="A116" s="108"/>
      <c r="B116" s="108"/>
      <c r="C116" s="108"/>
      <c r="D116" s="108"/>
      <c r="E116" s="109"/>
      <c r="F116" s="109"/>
      <c r="G116" s="123" t="str">
        <f t="shared" si="12"/>
        <v/>
      </c>
      <c r="H116" s="124" t="str">
        <f t="shared" si="13"/>
        <v/>
      </c>
      <c r="I116" s="110"/>
      <c r="J116" s="125" t="str">
        <f>IF($A116="","",SUMIFS(Compras!$D:$D,Compras!$B:$B,$A116))</f>
        <v/>
      </c>
      <c r="K116" s="125" t="str">
        <f>IF($A116="","",SUMIFS(Ventas!$D:$D,Ventas!$B:$B,$A116))</f>
        <v/>
      </c>
      <c r="L116" s="125" t="str">
        <f>IF($A116="","",SUMIFS(Mermas!$D:$D,Mermas!$B:$B,$A116))</f>
        <v/>
      </c>
      <c r="M116" s="125" t="str">
        <f t="shared" si="14"/>
        <v/>
      </c>
      <c r="N116" s="126" t="str">
        <f>IF($A116="","",SUMIFS(Ventas!$F:$F,Ventas!$B:$B,$A116))</f>
        <v/>
      </c>
      <c r="O116" s="129" t="str">
        <f t="shared" si="15"/>
        <v/>
      </c>
    </row>
    <row r="117" spans="1:15" ht="15" customHeight="1" x14ac:dyDescent="0.3">
      <c r="A117" s="108"/>
      <c r="B117" s="108"/>
      <c r="C117" s="108"/>
      <c r="D117" s="108"/>
      <c r="E117" s="109"/>
      <c r="F117" s="109"/>
      <c r="G117" s="123" t="str">
        <f t="shared" si="12"/>
        <v/>
      </c>
      <c r="H117" s="124" t="str">
        <f t="shared" si="13"/>
        <v/>
      </c>
      <c r="I117" s="110"/>
      <c r="J117" s="125" t="str">
        <f>IF($A117="","",SUMIFS(Compras!$D:$D,Compras!$B:$B,$A117))</f>
        <v/>
      </c>
      <c r="K117" s="125" t="str">
        <f>IF($A117="","",SUMIFS(Ventas!$D:$D,Ventas!$B:$B,$A117))</f>
        <v/>
      </c>
      <c r="L117" s="125" t="str">
        <f>IF($A117="","",SUMIFS(Mermas!$D:$D,Mermas!$B:$B,$A117))</f>
        <v/>
      </c>
      <c r="M117" s="125" t="str">
        <f t="shared" si="14"/>
        <v/>
      </c>
      <c r="N117" s="126" t="str">
        <f>IF($A117="","",SUMIFS(Ventas!$F:$F,Ventas!$B:$B,$A117))</f>
        <v/>
      </c>
      <c r="O117" s="129" t="str">
        <f t="shared" si="15"/>
        <v/>
      </c>
    </row>
    <row r="118" spans="1:15" ht="15" customHeight="1" x14ac:dyDescent="0.3">
      <c r="A118" s="108"/>
      <c r="B118" s="108"/>
      <c r="C118" s="108"/>
      <c r="D118" s="108"/>
      <c r="E118" s="109"/>
      <c r="F118" s="109"/>
      <c r="G118" s="123" t="str">
        <f t="shared" si="12"/>
        <v/>
      </c>
      <c r="H118" s="124" t="str">
        <f t="shared" si="13"/>
        <v/>
      </c>
      <c r="I118" s="110"/>
      <c r="J118" s="125" t="str">
        <f>IF($A118="","",SUMIFS(Compras!$D:$D,Compras!$B:$B,$A118))</f>
        <v/>
      </c>
      <c r="K118" s="125" t="str">
        <f>IF($A118="","",SUMIFS(Ventas!$D:$D,Ventas!$B:$B,$A118))</f>
        <v/>
      </c>
      <c r="L118" s="125" t="str">
        <f>IF($A118="","",SUMIFS(Mermas!$D:$D,Mermas!$B:$B,$A118))</f>
        <v/>
      </c>
      <c r="M118" s="125" t="str">
        <f t="shared" si="14"/>
        <v/>
      </c>
      <c r="N118" s="126" t="str">
        <f>IF($A118="","",SUMIFS(Ventas!$F:$F,Ventas!$B:$B,$A118))</f>
        <v/>
      </c>
      <c r="O118" s="129" t="str">
        <f t="shared" si="15"/>
        <v/>
      </c>
    </row>
    <row r="119" spans="1:15" ht="15" customHeight="1" x14ac:dyDescent="0.3">
      <c r="A119" s="108"/>
      <c r="B119" s="108"/>
      <c r="C119" s="108"/>
      <c r="D119" s="108"/>
      <c r="E119" s="109"/>
      <c r="F119" s="109"/>
      <c r="G119" s="123" t="str">
        <f t="shared" si="12"/>
        <v/>
      </c>
      <c r="H119" s="124" t="str">
        <f t="shared" si="13"/>
        <v/>
      </c>
      <c r="I119" s="110"/>
      <c r="J119" s="125" t="str">
        <f>IF($A119="","",SUMIFS(Compras!$D:$D,Compras!$B:$B,$A119))</f>
        <v/>
      </c>
      <c r="K119" s="125" t="str">
        <f>IF($A119="","",SUMIFS(Ventas!$D:$D,Ventas!$B:$B,$A119))</f>
        <v/>
      </c>
      <c r="L119" s="125" t="str">
        <f>IF($A119="","",SUMIFS(Mermas!$D:$D,Mermas!$B:$B,$A119))</f>
        <v/>
      </c>
      <c r="M119" s="125" t="str">
        <f t="shared" si="14"/>
        <v/>
      </c>
      <c r="N119" s="126" t="str">
        <f>IF($A119="","",SUMIFS(Ventas!$F:$F,Ventas!$B:$B,$A119))</f>
        <v/>
      </c>
      <c r="O119" s="129" t="str">
        <f t="shared" si="15"/>
        <v/>
      </c>
    </row>
    <row r="120" spans="1:15" ht="15" customHeight="1" x14ac:dyDescent="0.3">
      <c r="A120" s="108"/>
      <c r="B120" s="108"/>
      <c r="C120" s="108"/>
      <c r="D120" s="108"/>
      <c r="E120" s="109"/>
      <c r="F120" s="109"/>
      <c r="G120" s="123" t="str">
        <f t="shared" si="12"/>
        <v/>
      </c>
      <c r="H120" s="124" t="str">
        <f t="shared" si="13"/>
        <v/>
      </c>
      <c r="I120" s="110"/>
      <c r="J120" s="125" t="str">
        <f>IF($A120="","",SUMIFS(Compras!$D:$D,Compras!$B:$B,$A120))</f>
        <v/>
      </c>
      <c r="K120" s="125" t="str">
        <f>IF($A120="","",SUMIFS(Ventas!$D:$D,Ventas!$B:$B,$A120))</f>
        <v/>
      </c>
      <c r="L120" s="125" t="str">
        <f>IF($A120="","",SUMIFS(Mermas!$D:$D,Mermas!$B:$B,$A120))</f>
        <v/>
      </c>
      <c r="M120" s="125" t="str">
        <f t="shared" si="14"/>
        <v/>
      </c>
      <c r="N120" s="126" t="str">
        <f>IF($A120="","",SUMIFS(Ventas!$F:$F,Ventas!$B:$B,$A120))</f>
        <v/>
      </c>
      <c r="O120" s="129" t="str">
        <f t="shared" si="15"/>
        <v/>
      </c>
    </row>
    <row r="121" spans="1:15" ht="15" customHeight="1" x14ac:dyDescent="0.3">
      <c r="A121" s="108"/>
      <c r="B121" s="108"/>
      <c r="C121" s="108"/>
      <c r="D121" s="108"/>
      <c r="E121" s="109"/>
      <c r="F121" s="109"/>
      <c r="G121" s="123" t="str">
        <f t="shared" si="12"/>
        <v/>
      </c>
      <c r="H121" s="124" t="str">
        <f t="shared" si="13"/>
        <v/>
      </c>
      <c r="I121" s="110"/>
      <c r="J121" s="125" t="str">
        <f>IF($A121="","",SUMIFS(Compras!$D:$D,Compras!$B:$B,$A121))</f>
        <v/>
      </c>
      <c r="K121" s="125" t="str">
        <f>IF($A121="","",SUMIFS(Ventas!$D:$D,Ventas!$B:$B,$A121))</f>
        <v/>
      </c>
      <c r="L121" s="125" t="str">
        <f>IF($A121="","",SUMIFS(Mermas!$D:$D,Mermas!$B:$B,$A121))</f>
        <v/>
      </c>
      <c r="M121" s="125" t="str">
        <f t="shared" si="14"/>
        <v/>
      </c>
      <c r="N121" s="126" t="str">
        <f>IF($A121="","",SUMIFS(Ventas!$F:$F,Ventas!$B:$B,$A121))</f>
        <v/>
      </c>
      <c r="O121" s="129" t="str">
        <f t="shared" si="15"/>
        <v/>
      </c>
    </row>
    <row r="122" spans="1:15" ht="15" customHeight="1" x14ac:dyDescent="0.3">
      <c r="A122" s="108"/>
      <c r="B122" s="108"/>
      <c r="C122" s="108"/>
      <c r="D122" s="108"/>
      <c r="E122" s="109"/>
      <c r="F122" s="109"/>
      <c r="G122" s="123" t="str">
        <f t="shared" si="12"/>
        <v/>
      </c>
      <c r="H122" s="124" t="str">
        <f t="shared" si="13"/>
        <v/>
      </c>
      <c r="I122" s="110"/>
      <c r="J122" s="125" t="str">
        <f>IF($A122="","",SUMIFS(Compras!$D:$D,Compras!$B:$B,$A122))</f>
        <v/>
      </c>
      <c r="K122" s="125" t="str">
        <f>IF($A122="","",SUMIFS(Ventas!$D:$D,Ventas!$B:$B,$A122))</f>
        <v/>
      </c>
      <c r="L122" s="125" t="str">
        <f>IF($A122="","",SUMIFS(Mermas!$D:$D,Mermas!$B:$B,$A122))</f>
        <v/>
      </c>
      <c r="M122" s="125" t="str">
        <f t="shared" si="14"/>
        <v/>
      </c>
      <c r="N122" s="126" t="str">
        <f>IF($A122="","",SUMIFS(Ventas!$F:$F,Ventas!$B:$B,$A122))</f>
        <v/>
      </c>
      <c r="O122" s="129" t="str">
        <f t="shared" si="15"/>
        <v/>
      </c>
    </row>
    <row r="123" spans="1:15" ht="15" customHeight="1" x14ac:dyDescent="0.3">
      <c r="A123" s="108"/>
      <c r="B123" s="108"/>
      <c r="C123" s="108"/>
      <c r="D123" s="108"/>
      <c r="E123" s="109"/>
      <c r="F123" s="109"/>
      <c r="G123" s="123" t="str">
        <f t="shared" si="12"/>
        <v/>
      </c>
      <c r="H123" s="124" t="str">
        <f t="shared" si="13"/>
        <v/>
      </c>
      <c r="I123" s="110"/>
      <c r="J123" s="125" t="str">
        <f>IF($A123="","",SUMIFS(Compras!$D:$D,Compras!$B:$B,$A123))</f>
        <v/>
      </c>
      <c r="K123" s="125" t="str">
        <f>IF($A123="","",SUMIFS(Ventas!$D:$D,Ventas!$B:$B,$A123))</f>
        <v/>
      </c>
      <c r="L123" s="125" t="str">
        <f>IF($A123="","",SUMIFS(Mermas!$D:$D,Mermas!$B:$B,$A123))</f>
        <v/>
      </c>
      <c r="M123" s="125" t="str">
        <f t="shared" si="14"/>
        <v/>
      </c>
      <c r="N123" s="126" t="str">
        <f>IF($A123="","",SUMIFS(Ventas!$F:$F,Ventas!$B:$B,$A123))</f>
        <v/>
      </c>
      <c r="O123" s="129" t="str">
        <f t="shared" si="15"/>
        <v/>
      </c>
    </row>
    <row r="124" spans="1:15" ht="15" customHeight="1" x14ac:dyDescent="0.3">
      <c r="A124" s="108"/>
      <c r="B124" s="108"/>
      <c r="C124" s="108"/>
      <c r="D124" s="108"/>
      <c r="E124" s="109"/>
      <c r="F124" s="109"/>
      <c r="G124" s="123" t="str">
        <f t="shared" si="12"/>
        <v/>
      </c>
      <c r="H124" s="124" t="str">
        <f t="shared" si="13"/>
        <v/>
      </c>
      <c r="I124" s="110"/>
      <c r="J124" s="125" t="str">
        <f>IF($A124="","",SUMIFS(Compras!$D:$D,Compras!$B:$B,$A124))</f>
        <v/>
      </c>
      <c r="K124" s="125" t="str">
        <f>IF($A124="","",SUMIFS(Ventas!$D:$D,Ventas!$B:$B,$A124))</f>
        <v/>
      </c>
      <c r="L124" s="125" t="str">
        <f>IF($A124="","",SUMIFS(Mermas!$D:$D,Mermas!$B:$B,$A124))</f>
        <v/>
      </c>
      <c r="M124" s="125" t="str">
        <f t="shared" si="14"/>
        <v/>
      </c>
      <c r="N124" s="126" t="str">
        <f>IF($A124="","",SUMIFS(Ventas!$F:$F,Ventas!$B:$B,$A124))</f>
        <v/>
      </c>
      <c r="O124" s="129" t="str">
        <f t="shared" si="15"/>
        <v/>
      </c>
    </row>
    <row r="125" spans="1:15" x14ac:dyDescent="0.3">
      <c r="N125" s="127"/>
    </row>
    <row r="126" spans="1:15" x14ac:dyDescent="0.3">
      <c r="M126" s="38" t="s">
        <v>170</v>
      </c>
      <c r="N126" s="128">
        <f>IFERROR(MAX(N5:N124),0)</f>
        <v>408000</v>
      </c>
    </row>
    <row r="127" spans="1:15" x14ac:dyDescent="0.3">
      <c r="M127" s="48"/>
    </row>
  </sheetData>
  <sheetProtection sheet="1" objects="1" scenarios="1" insertHyperlinks="0" sort="0" autoFilter="0"/>
  <autoFilter ref="A4:O124" xr:uid="{00000000-0009-0000-0000-000002000000}"/>
  <mergeCells count="2">
    <mergeCell ref="A1:O1"/>
    <mergeCell ref="A2:O2"/>
  </mergeCells>
  <conditionalFormatting sqref="O5:O124">
    <cfRule type="cellIs" dxfId="2" priority="1" operator="equal">
      <formula>"A"</formula>
    </cfRule>
    <cfRule type="cellIs" dxfId="1" priority="2" operator="equal">
      <formula>"B"</formula>
    </cfRule>
    <cfRule type="cellIs" dxfId="0" priority="3" operator="equal">
      <formula>"C"</formula>
    </cfRule>
  </conditionalFormatting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tabSelected="1" zoomScaleNormal="100" workbookViewId="0">
      <pane xSplit="2" ySplit="4" topLeftCell="C38" activePane="bottomRight" state="frozen"/>
      <selection pane="topRight" activeCell="C1" sqref="C1"/>
      <selection pane="bottomLeft" activeCell="A4" sqref="A4"/>
      <selection pane="bottomRight" activeCell="G63" sqref="G63"/>
    </sheetView>
  </sheetViews>
  <sheetFormatPr baseColWidth="10" defaultColWidth="8.6640625" defaultRowHeight="14.4" x14ac:dyDescent="0.3"/>
  <cols>
    <col min="1" max="1" width="12" customWidth="1"/>
    <col min="2" max="2" width="9" customWidth="1"/>
    <col min="3" max="3" width="26" customWidth="1"/>
    <col min="4" max="4" width="11" customWidth="1"/>
    <col min="5" max="5" width="13" customWidth="1"/>
    <col min="6" max="6" width="14" customWidth="1"/>
    <col min="7" max="7" width="24" customWidth="1"/>
  </cols>
  <sheetData>
    <row r="1" spans="1:7" ht="27.75" customHeight="1" x14ac:dyDescent="0.3">
      <c r="A1" s="101" t="s">
        <v>171</v>
      </c>
      <c r="B1" s="102"/>
      <c r="C1" s="102"/>
      <c r="D1" s="102"/>
      <c r="E1" s="102"/>
      <c r="F1" s="102"/>
      <c r="G1" s="102"/>
    </row>
    <row r="2" spans="1:7" ht="15" customHeight="1" x14ac:dyDescent="0.3">
      <c r="A2" s="99" t="s">
        <v>213</v>
      </c>
      <c r="B2" s="100"/>
      <c r="C2" s="100"/>
      <c r="D2" s="100"/>
      <c r="E2" s="100"/>
      <c r="F2" s="100"/>
      <c r="G2" s="100"/>
    </row>
    <row r="3" spans="1:7" ht="15" customHeight="1" x14ac:dyDescent="0.3">
      <c r="A3" s="3"/>
    </row>
    <row r="4" spans="1:7" ht="31.5" customHeight="1" x14ac:dyDescent="0.3">
      <c r="A4" s="1" t="s">
        <v>172</v>
      </c>
      <c r="B4" s="1" t="s">
        <v>112</v>
      </c>
      <c r="C4" s="1" t="s">
        <v>84</v>
      </c>
      <c r="D4" s="1" t="s">
        <v>173</v>
      </c>
      <c r="E4" s="1" t="s">
        <v>114</v>
      </c>
      <c r="F4" s="1" t="s">
        <v>174</v>
      </c>
      <c r="G4" s="1" t="s">
        <v>113</v>
      </c>
    </row>
    <row r="5" spans="1:7" ht="15" customHeight="1" x14ac:dyDescent="0.3">
      <c r="A5" s="111">
        <v>46205</v>
      </c>
      <c r="B5" s="112" t="s">
        <v>141</v>
      </c>
      <c r="C5" s="130" t="str">
        <f>IF($B5="","",IFERROR(INDEX(Productos!$B:$B,MATCH($B5,Productos!$A:$A,0)),""))</f>
        <v>Cerveza lata 330 ml</v>
      </c>
      <c r="D5" s="113">
        <v>14</v>
      </c>
      <c r="E5" s="131">
        <f>IF($B5="","",IFERROR(INDEX(Productos!$E:$E,MATCH($B5,Productos!$A:$A,0)),0))</f>
        <v>2600</v>
      </c>
      <c r="F5" s="131">
        <f t="shared" ref="F5:F36" si="0">IF($B5="","",N(D5)*E5)</f>
        <v>36400</v>
      </c>
      <c r="G5" s="130" t="str">
        <f>IF($B5="","",IFERROR(INDEX(Productos!$D:$D,MATCH($B5,Productos!$A:$A,0)),""))</f>
        <v>Embotelladora Central</v>
      </c>
    </row>
    <row r="6" spans="1:7" ht="15" customHeight="1" x14ac:dyDescent="0.3">
      <c r="A6" s="111">
        <v>46205</v>
      </c>
      <c r="B6" s="112" t="s">
        <v>166</v>
      </c>
      <c r="C6" s="130" t="str">
        <f>IF($B6="","",IFERROR(INDEX(Productos!$B:$B,MATCH($B6,Productos!$A:$A,0)),""))</f>
        <v>Papa kg</v>
      </c>
      <c r="D6" s="113">
        <v>16</v>
      </c>
      <c r="E6" s="131">
        <f>IF($B6="","",IFERROR(INDEX(Productos!$E:$E,MATCH($B6,Productos!$A:$A,0)),0))</f>
        <v>1900</v>
      </c>
      <c r="F6" s="131">
        <f t="shared" si="0"/>
        <v>30400</v>
      </c>
      <c r="G6" s="130" t="str">
        <f>IF($B6="","",IFERROR(INDEX(Productos!$D:$D,MATCH($B6,Productos!$A:$A,0)),""))</f>
        <v>Central de Abastos</v>
      </c>
    </row>
    <row r="7" spans="1:7" ht="15" customHeight="1" x14ac:dyDescent="0.3">
      <c r="A7" s="111">
        <v>46205</v>
      </c>
      <c r="B7" s="112" t="s">
        <v>126</v>
      </c>
      <c r="C7" s="130" t="str">
        <f>IF($B7="","",IFERROR(INDEX(Productos!$B:$B,MATCH($B7,Productos!$A:$A,0)),""))</f>
        <v>Panela x 500 g</v>
      </c>
      <c r="D7" s="113">
        <v>8</v>
      </c>
      <c r="E7" s="131">
        <f>IF($B7="","",IFERROR(INDEX(Productos!$E:$E,MATCH($B7,Productos!$A:$A,0)),0))</f>
        <v>2100</v>
      </c>
      <c r="F7" s="131">
        <f t="shared" si="0"/>
        <v>16800</v>
      </c>
      <c r="G7" s="130" t="str">
        <f>IF($B7="","",IFERROR(INDEX(Productos!$D:$D,MATCH($B7,Productos!$A:$A,0)),""))</f>
        <v>Agro del Valle</v>
      </c>
    </row>
    <row r="8" spans="1:7" ht="15" customHeight="1" x14ac:dyDescent="0.3">
      <c r="A8" s="111">
        <v>46206</v>
      </c>
      <c r="B8" s="112" t="s">
        <v>134</v>
      </c>
      <c r="C8" s="130" t="str">
        <f>IF($B8="","",IFERROR(INDEX(Productos!$B:$B,MATCH($B8,Productos!$A:$A,0)),""))</f>
        <v>Yogur 1 L</v>
      </c>
      <c r="D8" s="113">
        <v>6</v>
      </c>
      <c r="E8" s="131">
        <f>IF($B8="","",IFERROR(INDEX(Productos!$E:$E,MATCH($B8,Productos!$A:$A,0)),0))</f>
        <v>5400</v>
      </c>
      <c r="F8" s="131">
        <f t="shared" si="0"/>
        <v>32400</v>
      </c>
      <c r="G8" s="130" t="str">
        <f>IF($B8="","",IFERROR(INDEX(Productos!$D:$D,MATCH($B8,Productos!$A:$A,0)),""))</f>
        <v>Lácteos del Norte</v>
      </c>
    </row>
    <row r="9" spans="1:7" ht="15" customHeight="1" x14ac:dyDescent="0.3">
      <c r="A9" s="111">
        <v>46207</v>
      </c>
      <c r="B9" s="112" t="s">
        <v>156</v>
      </c>
      <c r="C9" s="130" t="str">
        <f>IF($B9="","",IFERROR(INDEX(Productos!$B:$B,MATCH($B9,Productos!$A:$A,0)),""))</f>
        <v>Papel higiénico x 4</v>
      </c>
      <c r="D9" s="113">
        <v>5</v>
      </c>
      <c r="E9" s="131">
        <f>IF($B9="","",IFERROR(INDEX(Productos!$E:$E,MATCH($B9,Productos!$A:$A,0)),0))</f>
        <v>5600</v>
      </c>
      <c r="F9" s="131">
        <f t="shared" si="0"/>
        <v>28000</v>
      </c>
      <c r="G9" s="130" t="str">
        <f>IF($B9="","",IFERROR(INDEX(Productos!$D:$D,MATCH($B9,Productos!$A:$A,0)),""))</f>
        <v>Química del Sur</v>
      </c>
    </row>
    <row r="10" spans="1:7" ht="15" customHeight="1" x14ac:dyDescent="0.3">
      <c r="A10" s="111">
        <v>46208</v>
      </c>
      <c r="B10" s="112" t="s">
        <v>139</v>
      </c>
      <c r="C10" s="130" t="str">
        <f>IF($B10="","",IFERROR(INDEX(Productos!$B:$B,MATCH($B10,Productos!$A:$A,0)),""))</f>
        <v>Agua 600 ml</v>
      </c>
      <c r="D10" s="113">
        <v>21</v>
      </c>
      <c r="E10" s="131">
        <f>IF($B10="","",IFERROR(INDEX(Productos!$E:$E,MATCH($B10,Productos!$A:$A,0)),0))</f>
        <v>1200</v>
      </c>
      <c r="F10" s="131">
        <f t="shared" si="0"/>
        <v>25200</v>
      </c>
      <c r="G10" s="130" t="str">
        <f>IF($B10="","",IFERROR(INDEX(Productos!$D:$D,MATCH($B10,Productos!$A:$A,0)),""))</f>
        <v>Embotelladora Central</v>
      </c>
    </row>
    <row r="11" spans="1:7" ht="15" customHeight="1" x14ac:dyDescent="0.3">
      <c r="A11" s="111">
        <v>46209</v>
      </c>
      <c r="B11" s="112" t="s">
        <v>163</v>
      </c>
      <c r="C11" s="130" t="str">
        <f>IF($B11="","",IFERROR(INDEX(Productos!$B:$B,MATCH($B11,Productos!$A:$A,0)),""))</f>
        <v>Tomate kg</v>
      </c>
      <c r="D11" s="113">
        <v>11</v>
      </c>
      <c r="E11" s="131">
        <f>IF($B11="","",IFERROR(INDEX(Productos!$E:$E,MATCH($B11,Productos!$A:$A,0)),0))</f>
        <v>2800</v>
      </c>
      <c r="F11" s="131">
        <f t="shared" si="0"/>
        <v>30800</v>
      </c>
      <c r="G11" s="130" t="str">
        <f>IF($B11="","",IFERROR(INDEX(Productos!$D:$D,MATCH($B11,Productos!$A:$A,0)),""))</f>
        <v>Central de Abastos</v>
      </c>
    </row>
    <row r="12" spans="1:7" ht="15" customHeight="1" x14ac:dyDescent="0.3">
      <c r="A12" s="111">
        <v>46211</v>
      </c>
      <c r="B12" s="112" t="s">
        <v>132</v>
      </c>
      <c r="C12" s="130" t="str">
        <f>IF($B12="","",IFERROR(INDEX(Productos!$B:$B,MATCH($B12,Productos!$A:$A,0)),""))</f>
        <v>Queso campesino 500 g</v>
      </c>
      <c r="D12" s="113">
        <v>6</v>
      </c>
      <c r="E12" s="131">
        <f>IF($B12="","",IFERROR(INDEX(Productos!$E:$E,MATCH($B12,Productos!$A:$A,0)),0))</f>
        <v>9800</v>
      </c>
      <c r="F12" s="131">
        <f t="shared" si="0"/>
        <v>58800</v>
      </c>
      <c r="G12" s="130" t="str">
        <f>IF($B12="","",IFERROR(INDEX(Productos!$D:$D,MATCH($B12,Productos!$A:$A,0)),""))</f>
        <v>Lácteos del Norte</v>
      </c>
    </row>
    <row r="13" spans="1:7" ht="15" customHeight="1" x14ac:dyDescent="0.3">
      <c r="A13" s="111">
        <v>46212</v>
      </c>
      <c r="B13" s="112" t="s">
        <v>124</v>
      </c>
      <c r="C13" s="130" t="str">
        <f>IF($B13="","",IFERROR(INDEX(Productos!$B:$B,MATCH($B13,Productos!$A:$A,0)),""))</f>
        <v>Aceite girasol 1 L</v>
      </c>
      <c r="D13" s="113">
        <v>11</v>
      </c>
      <c r="E13" s="131">
        <f>IF($B13="","",IFERROR(INDEX(Productos!$E:$E,MATCH($B13,Productos!$A:$A,0)),0))</f>
        <v>7200</v>
      </c>
      <c r="F13" s="131">
        <f t="shared" si="0"/>
        <v>79200</v>
      </c>
      <c r="G13" s="130" t="str">
        <f>IF($B13="","",IFERROR(INDEX(Productos!$D:$D,MATCH($B13,Productos!$A:$A,0)),""))</f>
        <v>Distribuidora Andina</v>
      </c>
    </row>
    <row r="14" spans="1:7" ht="15" customHeight="1" x14ac:dyDescent="0.3">
      <c r="A14" s="111">
        <v>46212</v>
      </c>
      <c r="B14" s="112" t="s">
        <v>136</v>
      </c>
      <c r="C14" s="130" t="str">
        <f>IF($B14="","",IFERROR(INDEX(Productos!$B:$B,MATCH($B14,Productos!$A:$A,0)),""))</f>
        <v>Gaseosa 1,5 L</v>
      </c>
      <c r="D14" s="113">
        <v>12</v>
      </c>
      <c r="E14" s="131">
        <f>IF($B14="","",IFERROR(INDEX(Productos!$E:$E,MATCH($B14,Productos!$A:$A,0)),0))</f>
        <v>3400</v>
      </c>
      <c r="F14" s="131">
        <f t="shared" si="0"/>
        <v>40800</v>
      </c>
      <c r="G14" s="130" t="str">
        <f>IF($B14="","",IFERROR(INDEX(Productos!$D:$D,MATCH($B14,Productos!$A:$A,0)),""))</f>
        <v>Embotelladora Central</v>
      </c>
    </row>
    <row r="15" spans="1:7" ht="15" customHeight="1" x14ac:dyDescent="0.3">
      <c r="A15" s="111">
        <v>46212</v>
      </c>
      <c r="B15" s="112" t="s">
        <v>121</v>
      </c>
      <c r="C15" s="130" t="str">
        <f>IF($B15="","",IFERROR(INDEX(Productos!$B:$B,MATCH($B15,Productos!$A:$A,0)),""))</f>
        <v>Arroz x 500 g</v>
      </c>
      <c r="D15" s="113">
        <v>12</v>
      </c>
      <c r="E15" s="131">
        <f>IF($B15="","",IFERROR(INDEX(Productos!$E:$E,MATCH($B15,Productos!$A:$A,0)),0))</f>
        <v>1850</v>
      </c>
      <c r="F15" s="131">
        <f t="shared" si="0"/>
        <v>22200</v>
      </c>
      <c r="G15" s="130" t="str">
        <f>IF($B15="","",IFERROR(INDEX(Productos!$D:$D,MATCH($B15,Productos!$A:$A,0)),""))</f>
        <v>Distribuidora Andina</v>
      </c>
    </row>
    <row r="16" spans="1:7" ht="15" customHeight="1" x14ac:dyDescent="0.3">
      <c r="A16" s="111">
        <v>46213</v>
      </c>
      <c r="B16" s="112" t="s">
        <v>143</v>
      </c>
      <c r="C16" s="130" t="str">
        <f>IF($B16="","",IFERROR(INDEX(Productos!$B:$B,MATCH($B16,Productos!$A:$A,0)),""))</f>
        <v>Pan tajado 500 g</v>
      </c>
      <c r="D16" s="113">
        <v>15</v>
      </c>
      <c r="E16" s="131">
        <f>IF($B16="","",IFERROR(INDEX(Productos!$E:$E,MATCH($B16,Productos!$A:$A,0)),0))</f>
        <v>3900</v>
      </c>
      <c r="F16" s="131">
        <f t="shared" si="0"/>
        <v>58500</v>
      </c>
      <c r="G16" s="130" t="str">
        <f>IF($B16="","",IFERROR(INDEX(Productos!$D:$D,MATCH($B16,Productos!$A:$A,0)),""))</f>
        <v>Panificadora El Trigal</v>
      </c>
    </row>
    <row r="17" spans="1:7" ht="15" customHeight="1" x14ac:dyDescent="0.3">
      <c r="A17" s="111">
        <v>46213</v>
      </c>
      <c r="B17" s="112" t="s">
        <v>168</v>
      </c>
      <c r="C17" s="130" t="str">
        <f>IF($B17="","",IFERROR(INDEX(Productos!$B:$B,MATCH($B17,Productos!$A:$A,0)),""))</f>
        <v>Banano kg</v>
      </c>
      <c r="D17" s="113">
        <v>10</v>
      </c>
      <c r="E17" s="131">
        <f>IF($B17="","",IFERROR(INDEX(Productos!$E:$E,MATCH($B17,Productos!$A:$A,0)),0))</f>
        <v>2200</v>
      </c>
      <c r="F17" s="131">
        <f t="shared" si="0"/>
        <v>22000</v>
      </c>
      <c r="G17" s="130" t="str">
        <f>IF($B17="","",IFERROR(INDEX(Productos!$D:$D,MATCH($B17,Productos!$A:$A,0)),""))</f>
        <v>Central de Abastos</v>
      </c>
    </row>
    <row r="18" spans="1:7" ht="15" customHeight="1" x14ac:dyDescent="0.3">
      <c r="A18" s="111">
        <v>46214</v>
      </c>
      <c r="B18" s="112" t="s">
        <v>139</v>
      </c>
      <c r="C18" s="130" t="str">
        <f>IF($B18="","",IFERROR(INDEX(Productos!$B:$B,MATCH($B18,Productos!$A:$A,0)),""))</f>
        <v>Agua 600 ml</v>
      </c>
      <c r="D18" s="113">
        <v>21</v>
      </c>
      <c r="E18" s="131">
        <f>IF($B18="","",IFERROR(INDEX(Productos!$E:$E,MATCH($B18,Productos!$A:$A,0)),0))</f>
        <v>1200</v>
      </c>
      <c r="F18" s="131">
        <f t="shared" si="0"/>
        <v>25200</v>
      </c>
      <c r="G18" s="130" t="str">
        <f>IF($B18="","",IFERROR(INDEX(Productos!$D:$D,MATCH($B18,Productos!$A:$A,0)),""))</f>
        <v>Embotelladora Central</v>
      </c>
    </row>
    <row r="19" spans="1:7" ht="15" customHeight="1" x14ac:dyDescent="0.3">
      <c r="A19" s="111">
        <v>46214</v>
      </c>
      <c r="B19" s="112" t="s">
        <v>163</v>
      </c>
      <c r="C19" s="130" t="str">
        <f>IF($B19="","",IFERROR(INDEX(Productos!$B:$B,MATCH($B19,Productos!$A:$A,0)),""))</f>
        <v>Tomate kg</v>
      </c>
      <c r="D19" s="113">
        <v>10</v>
      </c>
      <c r="E19" s="131">
        <f>IF($B19="","",IFERROR(INDEX(Productos!$E:$E,MATCH($B19,Productos!$A:$A,0)),0))</f>
        <v>2800</v>
      </c>
      <c r="F19" s="131">
        <f t="shared" si="0"/>
        <v>28000</v>
      </c>
      <c r="G19" s="130" t="str">
        <f>IF($B19="","",IFERROR(INDEX(Productos!$D:$D,MATCH($B19,Productos!$A:$A,0)),""))</f>
        <v>Central de Abastos</v>
      </c>
    </row>
    <row r="20" spans="1:7" ht="15" customHeight="1" x14ac:dyDescent="0.3">
      <c r="A20" s="111">
        <v>46214</v>
      </c>
      <c r="B20" s="112" t="s">
        <v>154</v>
      </c>
      <c r="C20" s="130" t="str">
        <f>IF($B20="","",IFERROR(INDEX(Productos!$B:$B,MATCH($B20,Productos!$A:$A,0)),""))</f>
        <v>Jabón de barra</v>
      </c>
      <c r="D20" s="113">
        <v>4</v>
      </c>
      <c r="E20" s="131">
        <f>IF($B20="","",IFERROR(INDEX(Productos!$E:$E,MATCH($B20,Productos!$A:$A,0)),0))</f>
        <v>1900</v>
      </c>
      <c r="F20" s="131">
        <f t="shared" si="0"/>
        <v>7600</v>
      </c>
      <c r="G20" s="130" t="str">
        <f>IF($B20="","",IFERROR(INDEX(Productos!$D:$D,MATCH($B20,Productos!$A:$A,0)),""))</f>
        <v>Química del Sur</v>
      </c>
    </row>
    <row r="21" spans="1:7" ht="15" customHeight="1" x14ac:dyDescent="0.3">
      <c r="A21" s="111">
        <v>46215</v>
      </c>
      <c r="B21" s="112" t="s">
        <v>158</v>
      </c>
      <c r="C21" s="130" t="str">
        <f>IF($B21="","",IFERROR(INDEX(Productos!$B:$B,MATCH($B21,Productos!$A:$A,0)),""))</f>
        <v>Huevos AA x 12</v>
      </c>
      <c r="D21" s="113">
        <v>17</v>
      </c>
      <c r="E21" s="131">
        <f>IF($B21="","",IFERROR(INDEX(Productos!$E:$E,MATCH($B21,Productos!$A:$A,0)),0))</f>
        <v>9200</v>
      </c>
      <c r="F21" s="131">
        <f t="shared" si="0"/>
        <v>156400</v>
      </c>
      <c r="G21" s="130" t="str">
        <f>IF($B21="","",IFERROR(INDEX(Productos!$D:$D,MATCH($B21,Productos!$A:$A,0)),""))</f>
        <v>Avícola La Esperanza</v>
      </c>
    </row>
    <row r="22" spans="1:7" ht="15" customHeight="1" x14ac:dyDescent="0.3">
      <c r="A22" s="111">
        <v>46216</v>
      </c>
      <c r="B22" s="112" t="s">
        <v>143</v>
      </c>
      <c r="C22" s="130" t="str">
        <f>IF($B22="","",IFERROR(INDEX(Productos!$B:$B,MATCH($B22,Productos!$A:$A,0)),""))</f>
        <v>Pan tajado 500 g</v>
      </c>
      <c r="D22" s="113">
        <v>14</v>
      </c>
      <c r="E22" s="131">
        <f>IF($B22="","",IFERROR(INDEX(Productos!$E:$E,MATCH($B22,Productos!$A:$A,0)),0))</f>
        <v>3900</v>
      </c>
      <c r="F22" s="131">
        <f t="shared" si="0"/>
        <v>54600</v>
      </c>
      <c r="G22" s="130" t="str">
        <f>IF($B22="","",IFERROR(INDEX(Productos!$D:$D,MATCH($B22,Productos!$A:$A,0)),""))</f>
        <v>Panificadora El Trigal</v>
      </c>
    </row>
    <row r="23" spans="1:7" ht="15" customHeight="1" x14ac:dyDescent="0.3">
      <c r="A23" s="111">
        <v>46217</v>
      </c>
      <c r="B23" s="112" t="s">
        <v>143</v>
      </c>
      <c r="C23" s="130" t="str">
        <f>IF($B23="","",IFERROR(INDEX(Productos!$B:$B,MATCH($B23,Productos!$A:$A,0)),""))</f>
        <v>Pan tajado 500 g</v>
      </c>
      <c r="D23" s="113">
        <v>14</v>
      </c>
      <c r="E23" s="131">
        <f>IF($B23="","",IFERROR(INDEX(Productos!$E:$E,MATCH($B23,Productos!$A:$A,0)),0))</f>
        <v>3900</v>
      </c>
      <c r="F23" s="131">
        <f t="shared" si="0"/>
        <v>54600</v>
      </c>
      <c r="G23" s="130" t="str">
        <f>IF($B23="","",IFERROR(INDEX(Productos!$D:$D,MATCH($B23,Productos!$A:$A,0)),""))</f>
        <v>Panificadora El Trigal</v>
      </c>
    </row>
    <row r="24" spans="1:7" ht="15" customHeight="1" x14ac:dyDescent="0.3">
      <c r="A24" s="111">
        <v>46217</v>
      </c>
      <c r="B24" s="112" t="s">
        <v>146</v>
      </c>
      <c r="C24" s="130" t="str">
        <f>IF($B24="","",IFERROR(INDEX(Productos!$B:$B,MATCH($B24,Productos!$A:$A,0)),""))</f>
        <v>Galletas surtidas</v>
      </c>
      <c r="D24" s="113">
        <v>21</v>
      </c>
      <c r="E24" s="131">
        <f>IF($B24="","",IFERROR(INDEX(Productos!$E:$E,MATCH($B24,Productos!$A:$A,0)),0))</f>
        <v>1800</v>
      </c>
      <c r="F24" s="131">
        <f t="shared" si="0"/>
        <v>37800</v>
      </c>
      <c r="G24" s="130" t="str">
        <f>IF($B24="","",IFERROR(INDEX(Productos!$D:$D,MATCH($B24,Productos!$A:$A,0)),""))</f>
        <v>Snacks Nacional</v>
      </c>
    </row>
    <row r="25" spans="1:7" ht="15" customHeight="1" x14ac:dyDescent="0.3">
      <c r="A25" s="111">
        <v>46217</v>
      </c>
      <c r="B25" s="112" t="s">
        <v>156</v>
      </c>
      <c r="C25" s="130" t="str">
        <f>IF($B25="","",IFERROR(INDEX(Productos!$B:$B,MATCH($B25,Productos!$A:$A,0)),""))</f>
        <v>Papel higiénico x 4</v>
      </c>
      <c r="D25" s="113">
        <v>5</v>
      </c>
      <c r="E25" s="131">
        <f>IF($B25="","",IFERROR(INDEX(Productos!$E:$E,MATCH($B25,Productos!$A:$A,0)),0))</f>
        <v>5600</v>
      </c>
      <c r="F25" s="131">
        <f t="shared" si="0"/>
        <v>28000</v>
      </c>
      <c r="G25" s="130" t="str">
        <f>IF($B25="","",IFERROR(INDEX(Productos!$D:$D,MATCH($B25,Productos!$A:$A,0)),""))</f>
        <v>Química del Sur</v>
      </c>
    </row>
    <row r="26" spans="1:7" ht="15" customHeight="1" x14ac:dyDescent="0.3">
      <c r="A26" s="111">
        <v>46217</v>
      </c>
      <c r="B26" s="112" t="s">
        <v>168</v>
      </c>
      <c r="C26" s="130" t="str">
        <f>IF($B26="","",IFERROR(INDEX(Productos!$B:$B,MATCH($B26,Productos!$A:$A,0)),""))</f>
        <v>Banano kg</v>
      </c>
      <c r="D26" s="113">
        <v>10</v>
      </c>
      <c r="E26" s="131">
        <f>IF($B26="","",IFERROR(INDEX(Productos!$E:$E,MATCH($B26,Productos!$A:$A,0)),0))</f>
        <v>2200</v>
      </c>
      <c r="F26" s="131">
        <f t="shared" si="0"/>
        <v>22000</v>
      </c>
      <c r="G26" s="130" t="str">
        <f>IF($B26="","",IFERROR(INDEX(Productos!$D:$D,MATCH($B26,Productos!$A:$A,0)),""))</f>
        <v>Central de Abastos</v>
      </c>
    </row>
    <row r="27" spans="1:7" ht="15" customHeight="1" x14ac:dyDescent="0.3">
      <c r="A27" s="111">
        <v>46217</v>
      </c>
      <c r="B27" s="112" t="s">
        <v>132</v>
      </c>
      <c r="C27" s="130" t="str">
        <f>IF($B27="","",IFERROR(INDEX(Productos!$B:$B,MATCH($B27,Productos!$A:$A,0)),""))</f>
        <v>Queso campesino 500 g</v>
      </c>
      <c r="D27" s="113">
        <v>6</v>
      </c>
      <c r="E27" s="131">
        <f>IF($B27="","",IFERROR(INDEX(Productos!$E:$E,MATCH($B27,Productos!$A:$A,0)),0))</f>
        <v>9800</v>
      </c>
      <c r="F27" s="131">
        <f t="shared" si="0"/>
        <v>58800</v>
      </c>
      <c r="G27" s="130" t="str">
        <f>IF($B27="","",IFERROR(INDEX(Productos!$D:$D,MATCH($B27,Productos!$A:$A,0)),""))</f>
        <v>Lácteos del Norte</v>
      </c>
    </row>
    <row r="28" spans="1:7" ht="15" customHeight="1" x14ac:dyDescent="0.3">
      <c r="A28" s="111">
        <v>46218</v>
      </c>
      <c r="B28" s="112" t="s">
        <v>156</v>
      </c>
      <c r="C28" s="130" t="str">
        <f>IF($B28="","",IFERROR(INDEX(Productos!$B:$B,MATCH($B28,Productos!$A:$A,0)),""))</f>
        <v>Papel higiénico x 4</v>
      </c>
      <c r="D28" s="113">
        <v>5</v>
      </c>
      <c r="E28" s="131">
        <f>IF($B28="","",IFERROR(INDEX(Productos!$E:$E,MATCH($B28,Productos!$A:$A,0)),0))</f>
        <v>5600</v>
      </c>
      <c r="F28" s="131">
        <f t="shared" si="0"/>
        <v>28000</v>
      </c>
      <c r="G28" s="130" t="str">
        <f>IF($B28="","",IFERROR(INDEX(Productos!$D:$D,MATCH($B28,Productos!$A:$A,0)),""))</f>
        <v>Química del Sur</v>
      </c>
    </row>
    <row r="29" spans="1:7" ht="15" customHeight="1" x14ac:dyDescent="0.3">
      <c r="A29" s="111">
        <v>46218</v>
      </c>
      <c r="B29" s="112" t="s">
        <v>161</v>
      </c>
      <c r="C29" s="130" t="str">
        <f>IF($B29="","",IFERROR(INDEX(Productos!$B:$B,MATCH($B29,Productos!$A:$A,0)),""))</f>
        <v>Pollo entero kg</v>
      </c>
      <c r="D29" s="113">
        <v>11</v>
      </c>
      <c r="E29" s="131">
        <f>IF($B29="","",IFERROR(INDEX(Productos!$E:$E,MATCH($B29,Productos!$A:$A,0)),0))</f>
        <v>11500</v>
      </c>
      <c r="F29" s="131">
        <f t="shared" si="0"/>
        <v>126500</v>
      </c>
      <c r="G29" s="130" t="str">
        <f>IF($B29="","",IFERROR(INDEX(Productos!$D:$D,MATCH($B29,Productos!$A:$A,0)),""))</f>
        <v>Avícola La Esperanza</v>
      </c>
    </row>
    <row r="30" spans="1:7" ht="15" customHeight="1" x14ac:dyDescent="0.3">
      <c r="A30" s="111">
        <v>46218</v>
      </c>
      <c r="B30" s="112" t="s">
        <v>132</v>
      </c>
      <c r="C30" s="130" t="str">
        <f>IF($B30="","",IFERROR(INDEX(Productos!$B:$B,MATCH($B30,Productos!$A:$A,0)),""))</f>
        <v>Queso campesino 500 g</v>
      </c>
      <c r="D30" s="113">
        <v>6</v>
      </c>
      <c r="E30" s="131">
        <f>IF($B30="","",IFERROR(INDEX(Productos!$E:$E,MATCH($B30,Productos!$A:$A,0)),0))</f>
        <v>9800</v>
      </c>
      <c r="F30" s="131">
        <f t="shared" si="0"/>
        <v>58800</v>
      </c>
      <c r="G30" s="130" t="str">
        <f>IF($B30="","",IFERROR(INDEX(Productos!$D:$D,MATCH($B30,Productos!$A:$A,0)),""))</f>
        <v>Lácteos del Norte</v>
      </c>
    </row>
    <row r="31" spans="1:7" ht="15" customHeight="1" x14ac:dyDescent="0.3">
      <c r="A31" s="111">
        <v>46219</v>
      </c>
      <c r="B31" s="112" t="s">
        <v>136</v>
      </c>
      <c r="C31" s="130" t="str">
        <f>IF($B31="","",IFERROR(INDEX(Productos!$B:$B,MATCH($B31,Productos!$A:$A,0)),""))</f>
        <v>Gaseosa 1,5 L</v>
      </c>
      <c r="D31" s="113">
        <v>11</v>
      </c>
      <c r="E31" s="131">
        <f>IF($B31="","",IFERROR(INDEX(Productos!$E:$E,MATCH($B31,Productos!$A:$A,0)),0))</f>
        <v>3400</v>
      </c>
      <c r="F31" s="131">
        <f t="shared" si="0"/>
        <v>37400</v>
      </c>
      <c r="G31" s="130" t="str">
        <f>IF($B31="","",IFERROR(INDEX(Productos!$D:$D,MATCH($B31,Productos!$A:$A,0)),""))</f>
        <v>Embotelladora Central</v>
      </c>
    </row>
    <row r="32" spans="1:7" ht="15" customHeight="1" x14ac:dyDescent="0.3">
      <c r="A32" s="111">
        <v>46219</v>
      </c>
      <c r="B32" s="112" t="s">
        <v>163</v>
      </c>
      <c r="C32" s="130" t="str">
        <f>IF($B32="","",IFERROR(INDEX(Productos!$B:$B,MATCH($B32,Productos!$A:$A,0)),""))</f>
        <v>Tomate kg</v>
      </c>
      <c r="D32" s="113">
        <v>10</v>
      </c>
      <c r="E32" s="131">
        <f>IF($B32="","",IFERROR(INDEX(Productos!$E:$E,MATCH($B32,Productos!$A:$A,0)),0))</f>
        <v>2800</v>
      </c>
      <c r="F32" s="131">
        <f t="shared" si="0"/>
        <v>28000</v>
      </c>
      <c r="G32" s="130" t="str">
        <f>IF($B32="","",IFERROR(INDEX(Productos!$D:$D,MATCH($B32,Productos!$A:$A,0)),""))</f>
        <v>Central de Abastos</v>
      </c>
    </row>
    <row r="33" spans="1:7" ht="15" customHeight="1" x14ac:dyDescent="0.3">
      <c r="A33" s="111">
        <v>46220</v>
      </c>
      <c r="B33" s="112" t="s">
        <v>141</v>
      </c>
      <c r="C33" s="130" t="str">
        <f>IF($B33="","",IFERROR(INDEX(Productos!$B:$B,MATCH($B33,Productos!$A:$A,0)),""))</f>
        <v>Cerveza lata 330 ml</v>
      </c>
      <c r="D33" s="113">
        <v>13</v>
      </c>
      <c r="E33" s="131">
        <f>IF($B33="","",IFERROR(INDEX(Productos!$E:$E,MATCH($B33,Productos!$A:$A,0)),0))</f>
        <v>2600</v>
      </c>
      <c r="F33" s="131">
        <f t="shared" si="0"/>
        <v>33800</v>
      </c>
      <c r="G33" s="130" t="str">
        <f>IF($B33="","",IFERROR(INDEX(Productos!$D:$D,MATCH($B33,Productos!$A:$A,0)),""))</f>
        <v>Embotelladora Central</v>
      </c>
    </row>
    <row r="34" spans="1:7" ht="15" customHeight="1" x14ac:dyDescent="0.3">
      <c r="A34" s="111">
        <v>46220</v>
      </c>
      <c r="B34" s="112" t="s">
        <v>121</v>
      </c>
      <c r="C34" s="130" t="str">
        <f>IF($B34="","",IFERROR(INDEX(Productos!$B:$B,MATCH($B34,Productos!$A:$A,0)),""))</f>
        <v>Arroz x 500 g</v>
      </c>
      <c r="D34" s="113">
        <v>11</v>
      </c>
      <c r="E34" s="131">
        <f>IF($B34="","",IFERROR(INDEX(Productos!$E:$E,MATCH($B34,Productos!$A:$A,0)),0))</f>
        <v>1850</v>
      </c>
      <c r="F34" s="131">
        <f t="shared" si="0"/>
        <v>20350</v>
      </c>
      <c r="G34" s="130" t="str">
        <f>IF($B34="","",IFERROR(INDEX(Productos!$D:$D,MATCH($B34,Productos!$A:$A,0)),""))</f>
        <v>Distribuidora Andina</v>
      </c>
    </row>
    <row r="35" spans="1:7" ht="15" customHeight="1" x14ac:dyDescent="0.3">
      <c r="A35" s="111">
        <v>46220</v>
      </c>
      <c r="B35" s="112" t="s">
        <v>151</v>
      </c>
      <c r="C35" s="130" t="str">
        <f>IF($B35="","",IFERROR(INDEX(Productos!$B:$B,MATCH($B35,Productos!$A:$A,0)),""))</f>
        <v>Detergente 1 kg</v>
      </c>
      <c r="D35" s="113">
        <v>5</v>
      </c>
      <c r="E35" s="131">
        <f>IF($B35="","",IFERROR(INDEX(Productos!$E:$E,MATCH($B35,Productos!$A:$A,0)),0))</f>
        <v>6800</v>
      </c>
      <c r="F35" s="131">
        <f t="shared" si="0"/>
        <v>34000</v>
      </c>
      <c r="G35" s="130" t="str">
        <f>IF($B35="","",IFERROR(INDEX(Productos!$D:$D,MATCH($B35,Productos!$A:$A,0)),""))</f>
        <v>Química del Sur</v>
      </c>
    </row>
    <row r="36" spans="1:7" ht="15" customHeight="1" x14ac:dyDescent="0.3">
      <c r="A36" s="111">
        <v>46221</v>
      </c>
      <c r="B36" s="112" t="s">
        <v>161</v>
      </c>
      <c r="C36" s="130" t="str">
        <f>IF($B36="","",IFERROR(INDEX(Productos!$B:$B,MATCH($B36,Productos!$A:$A,0)),""))</f>
        <v>Pollo entero kg</v>
      </c>
      <c r="D36" s="113">
        <v>10</v>
      </c>
      <c r="E36" s="131">
        <f>IF($B36="","",IFERROR(INDEX(Productos!$E:$E,MATCH($B36,Productos!$A:$A,0)),0))</f>
        <v>11500</v>
      </c>
      <c r="F36" s="131">
        <f t="shared" si="0"/>
        <v>115000</v>
      </c>
      <c r="G36" s="130" t="str">
        <f>IF($B36="","",IFERROR(INDEX(Productos!$D:$D,MATCH($B36,Productos!$A:$A,0)),""))</f>
        <v>Avícola La Esperanza</v>
      </c>
    </row>
    <row r="37" spans="1:7" ht="15" customHeight="1" x14ac:dyDescent="0.3">
      <c r="A37" s="111">
        <v>46221</v>
      </c>
      <c r="B37" s="112" t="s">
        <v>168</v>
      </c>
      <c r="C37" s="130" t="str">
        <f>IF($B37="","",IFERROR(INDEX(Productos!$B:$B,MATCH($B37,Productos!$A:$A,0)),""))</f>
        <v>Banano kg</v>
      </c>
      <c r="D37" s="113">
        <v>10</v>
      </c>
      <c r="E37" s="131">
        <f>IF($B37="","",IFERROR(INDEX(Productos!$E:$E,MATCH($B37,Productos!$A:$A,0)),0))</f>
        <v>2200</v>
      </c>
      <c r="F37" s="131">
        <f t="shared" ref="F37:F68" si="1">IF($B37="","",N(D37)*E37)</f>
        <v>22000</v>
      </c>
      <c r="G37" s="130" t="str">
        <f>IF($B37="","",IFERROR(INDEX(Productos!$D:$D,MATCH($B37,Productos!$A:$A,0)),""))</f>
        <v>Central de Abastos</v>
      </c>
    </row>
    <row r="38" spans="1:7" ht="15" customHeight="1" x14ac:dyDescent="0.3">
      <c r="A38" s="111">
        <v>46221</v>
      </c>
      <c r="B38" s="112" t="s">
        <v>126</v>
      </c>
      <c r="C38" s="130" t="str">
        <f>IF($B38="","",IFERROR(INDEX(Productos!$B:$B,MATCH($B38,Productos!$A:$A,0)),""))</f>
        <v>Panela x 500 g</v>
      </c>
      <c r="D38" s="113">
        <v>8</v>
      </c>
      <c r="E38" s="131">
        <f>IF($B38="","",IFERROR(INDEX(Productos!$E:$E,MATCH($B38,Productos!$A:$A,0)),0))</f>
        <v>2100</v>
      </c>
      <c r="F38" s="131">
        <f t="shared" si="1"/>
        <v>16800</v>
      </c>
      <c r="G38" s="130" t="str">
        <f>IF($B38="","",IFERROR(INDEX(Productos!$D:$D,MATCH($B38,Productos!$A:$A,0)),""))</f>
        <v>Agro del Valle</v>
      </c>
    </row>
    <row r="39" spans="1:7" ht="15" customHeight="1" x14ac:dyDescent="0.3">
      <c r="A39" s="111">
        <v>46222</v>
      </c>
      <c r="B39" s="112" t="s">
        <v>129</v>
      </c>
      <c r="C39" s="130" t="str">
        <f>IF($B39="","",IFERROR(INDEX(Productos!$B:$B,MATCH($B39,Productos!$A:$A,0)),""))</f>
        <v>Leche entera 1 L</v>
      </c>
      <c r="D39" s="113">
        <v>11</v>
      </c>
      <c r="E39" s="131">
        <f>IF($B39="","",IFERROR(INDEX(Productos!$E:$E,MATCH($B39,Productos!$A:$A,0)),0))</f>
        <v>3100</v>
      </c>
      <c r="F39" s="131">
        <f t="shared" si="1"/>
        <v>34100</v>
      </c>
      <c r="G39" s="130" t="str">
        <f>IF($B39="","",IFERROR(INDEX(Productos!$D:$D,MATCH($B39,Productos!$A:$A,0)),""))</f>
        <v>Lácteos del Norte</v>
      </c>
    </row>
    <row r="40" spans="1:7" ht="15" customHeight="1" x14ac:dyDescent="0.3">
      <c r="A40" s="111">
        <v>46222</v>
      </c>
      <c r="B40" s="112" t="s">
        <v>151</v>
      </c>
      <c r="C40" s="130" t="str">
        <f>IF($B40="","",IFERROR(INDEX(Productos!$B:$B,MATCH($B40,Productos!$A:$A,0)),""))</f>
        <v>Detergente 1 kg</v>
      </c>
      <c r="D40" s="113">
        <v>5</v>
      </c>
      <c r="E40" s="131">
        <f>IF($B40="","",IFERROR(INDEX(Productos!$E:$E,MATCH($B40,Productos!$A:$A,0)),0))</f>
        <v>6800</v>
      </c>
      <c r="F40" s="131">
        <f t="shared" si="1"/>
        <v>34000</v>
      </c>
      <c r="G40" s="130" t="str">
        <f>IF($B40="","",IFERROR(INDEX(Productos!$D:$D,MATCH($B40,Productos!$A:$A,0)),""))</f>
        <v>Química del Sur</v>
      </c>
    </row>
    <row r="41" spans="1:7" ht="15" customHeight="1" x14ac:dyDescent="0.3">
      <c r="A41" s="111">
        <v>46222</v>
      </c>
      <c r="B41" s="112" t="s">
        <v>154</v>
      </c>
      <c r="C41" s="130" t="str">
        <f>IF($B41="","",IFERROR(INDEX(Productos!$B:$B,MATCH($B41,Productos!$A:$A,0)),""))</f>
        <v>Jabón de barra</v>
      </c>
      <c r="D41" s="113">
        <v>3</v>
      </c>
      <c r="E41" s="131">
        <f>IF($B41="","",IFERROR(INDEX(Productos!$E:$E,MATCH($B41,Productos!$A:$A,0)),0))</f>
        <v>1900</v>
      </c>
      <c r="F41" s="131">
        <f t="shared" si="1"/>
        <v>5700</v>
      </c>
      <c r="G41" s="130" t="str">
        <f>IF($B41="","",IFERROR(INDEX(Productos!$D:$D,MATCH($B41,Productos!$A:$A,0)),""))</f>
        <v>Química del Sur</v>
      </c>
    </row>
    <row r="42" spans="1:7" ht="15" customHeight="1" x14ac:dyDescent="0.3">
      <c r="A42" s="111">
        <v>46223</v>
      </c>
      <c r="B42" s="112" t="s">
        <v>129</v>
      </c>
      <c r="C42" s="130" t="str">
        <f>IF($B42="","",IFERROR(INDEX(Productos!$B:$B,MATCH($B42,Productos!$A:$A,0)),""))</f>
        <v>Leche entera 1 L</v>
      </c>
      <c r="D42" s="113">
        <v>10</v>
      </c>
      <c r="E42" s="131">
        <f>IF($B42="","",IFERROR(INDEX(Productos!$E:$E,MATCH($B42,Productos!$A:$A,0)),0))</f>
        <v>3100</v>
      </c>
      <c r="F42" s="131">
        <f t="shared" si="1"/>
        <v>31000</v>
      </c>
      <c r="G42" s="130" t="str">
        <f>IF($B42="","",IFERROR(INDEX(Productos!$D:$D,MATCH($B42,Productos!$A:$A,0)),""))</f>
        <v>Lácteos del Norte</v>
      </c>
    </row>
    <row r="43" spans="1:7" ht="15" customHeight="1" x14ac:dyDescent="0.3">
      <c r="A43" s="111">
        <v>46223</v>
      </c>
      <c r="B43" s="112" t="s">
        <v>136</v>
      </c>
      <c r="C43" s="130" t="str">
        <f>IF($B43="","",IFERROR(INDEX(Productos!$B:$B,MATCH($B43,Productos!$A:$A,0)),""))</f>
        <v>Gaseosa 1,5 L</v>
      </c>
      <c r="D43" s="113">
        <v>11</v>
      </c>
      <c r="E43" s="131">
        <f>IF($B43="","",IFERROR(INDEX(Productos!$E:$E,MATCH($B43,Productos!$A:$A,0)),0))</f>
        <v>3400</v>
      </c>
      <c r="F43" s="131">
        <f t="shared" si="1"/>
        <v>37400</v>
      </c>
      <c r="G43" s="130" t="str">
        <f>IF($B43="","",IFERROR(INDEX(Productos!$D:$D,MATCH($B43,Productos!$A:$A,0)),""))</f>
        <v>Embotelladora Central</v>
      </c>
    </row>
    <row r="44" spans="1:7" ht="15" customHeight="1" x14ac:dyDescent="0.3">
      <c r="A44" s="111">
        <v>46223</v>
      </c>
      <c r="B44" s="112" t="s">
        <v>156</v>
      </c>
      <c r="C44" s="130" t="str">
        <f>IF($B44="","",IFERROR(INDEX(Productos!$B:$B,MATCH($B44,Productos!$A:$A,0)),""))</f>
        <v>Papel higiénico x 4</v>
      </c>
      <c r="D44" s="113">
        <v>4</v>
      </c>
      <c r="E44" s="131">
        <f>IF($B44="","",IFERROR(INDEX(Productos!$E:$E,MATCH($B44,Productos!$A:$A,0)),0))</f>
        <v>5600</v>
      </c>
      <c r="F44" s="131">
        <f t="shared" si="1"/>
        <v>22400</v>
      </c>
      <c r="G44" s="130" t="str">
        <f>IF($B44="","",IFERROR(INDEX(Productos!$D:$D,MATCH($B44,Productos!$A:$A,0)),""))</f>
        <v>Química del Sur</v>
      </c>
    </row>
    <row r="45" spans="1:7" ht="15" customHeight="1" x14ac:dyDescent="0.3">
      <c r="A45" s="111">
        <v>46223</v>
      </c>
      <c r="B45" s="112" t="s">
        <v>126</v>
      </c>
      <c r="C45" s="130" t="str">
        <f>IF($B45="","",IFERROR(INDEX(Productos!$B:$B,MATCH($B45,Productos!$A:$A,0)),""))</f>
        <v>Panela x 500 g</v>
      </c>
      <c r="D45" s="113">
        <v>7</v>
      </c>
      <c r="E45" s="131">
        <f>IF($B45="","",IFERROR(INDEX(Productos!$E:$E,MATCH($B45,Productos!$A:$A,0)),0))</f>
        <v>2100</v>
      </c>
      <c r="F45" s="131">
        <f t="shared" si="1"/>
        <v>14700</v>
      </c>
      <c r="G45" s="130" t="str">
        <f>IF($B45="","",IFERROR(INDEX(Productos!$D:$D,MATCH($B45,Productos!$A:$A,0)),""))</f>
        <v>Agro del Valle</v>
      </c>
    </row>
    <row r="46" spans="1:7" ht="15" customHeight="1" x14ac:dyDescent="0.3">
      <c r="A46" s="111">
        <v>46224</v>
      </c>
      <c r="B46" s="112" t="s">
        <v>124</v>
      </c>
      <c r="C46" s="130" t="str">
        <f>IF($B46="","",IFERROR(INDEX(Productos!$B:$B,MATCH($B46,Productos!$A:$A,0)),""))</f>
        <v>Aceite girasol 1 L</v>
      </c>
      <c r="D46" s="113">
        <v>10</v>
      </c>
      <c r="E46" s="131">
        <f>IF($B46="","",IFERROR(INDEX(Productos!$E:$E,MATCH($B46,Productos!$A:$A,0)),0))</f>
        <v>7200</v>
      </c>
      <c r="F46" s="131">
        <f t="shared" si="1"/>
        <v>72000</v>
      </c>
      <c r="G46" s="130" t="str">
        <f>IF($B46="","",IFERROR(INDEX(Productos!$D:$D,MATCH($B46,Productos!$A:$A,0)),""))</f>
        <v>Distribuidora Andina</v>
      </c>
    </row>
    <row r="47" spans="1:7" ht="15" customHeight="1" x14ac:dyDescent="0.3">
      <c r="A47" s="111">
        <v>46224</v>
      </c>
      <c r="B47" s="112" t="s">
        <v>149</v>
      </c>
      <c r="C47" s="130" t="str">
        <f>IF($B47="","",IFERROR(INDEX(Productos!$B:$B,MATCH($B47,Productos!$A:$A,0)),""))</f>
        <v>Papas fritas 105 g</v>
      </c>
      <c r="D47" s="113">
        <v>16</v>
      </c>
      <c r="E47" s="131">
        <f>IF($B47="","",IFERROR(INDEX(Productos!$E:$E,MATCH($B47,Productos!$A:$A,0)),0))</f>
        <v>3200</v>
      </c>
      <c r="F47" s="131">
        <f t="shared" si="1"/>
        <v>51200</v>
      </c>
      <c r="G47" s="130" t="str">
        <f>IF($B47="","",IFERROR(INDEX(Productos!$D:$D,MATCH($B47,Productos!$A:$A,0)),""))</f>
        <v>Snacks Nacional</v>
      </c>
    </row>
    <row r="48" spans="1:7" ht="15" customHeight="1" x14ac:dyDescent="0.3">
      <c r="A48" s="111">
        <v>46226</v>
      </c>
      <c r="B48" s="112" t="s">
        <v>141</v>
      </c>
      <c r="C48" s="130" t="str">
        <f>IF($B48="","",IFERROR(INDEX(Productos!$B:$B,MATCH($B48,Productos!$A:$A,0)),""))</f>
        <v>Cerveza lata 330 ml</v>
      </c>
      <c r="D48" s="113">
        <v>13</v>
      </c>
      <c r="E48" s="131">
        <f>IF($B48="","",IFERROR(INDEX(Productos!$E:$E,MATCH($B48,Productos!$A:$A,0)),0))</f>
        <v>2600</v>
      </c>
      <c r="F48" s="131">
        <f t="shared" si="1"/>
        <v>33800</v>
      </c>
      <c r="G48" s="130" t="str">
        <f>IF($B48="","",IFERROR(INDEX(Productos!$D:$D,MATCH($B48,Productos!$A:$A,0)),""))</f>
        <v>Embotelladora Central</v>
      </c>
    </row>
    <row r="49" spans="1:7" ht="15" customHeight="1" x14ac:dyDescent="0.3">
      <c r="A49" s="111">
        <v>46226</v>
      </c>
      <c r="B49" s="112" t="s">
        <v>151</v>
      </c>
      <c r="C49" s="130" t="str">
        <f>IF($B49="","",IFERROR(INDEX(Productos!$B:$B,MATCH($B49,Productos!$A:$A,0)),""))</f>
        <v>Detergente 1 kg</v>
      </c>
      <c r="D49" s="113">
        <v>5</v>
      </c>
      <c r="E49" s="131">
        <f>IF($B49="","",IFERROR(INDEX(Productos!$E:$E,MATCH($B49,Productos!$A:$A,0)),0))</f>
        <v>6800</v>
      </c>
      <c r="F49" s="131">
        <f t="shared" si="1"/>
        <v>34000</v>
      </c>
      <c r="G49" s="130" t="str">
        <f>IF($B49="","",IFERROR(INDEX(Productos!$D:$D,MATCH($B49,Productos!$A:$A,0)),""))</f>
        <v>Química del Sur</v>
      </c>
    </row>
    <row r="50" spans="1:7" ht="15" customHeight="1" x14ac:dyDescent="0.3">
      <c r="A50" s="111">
        <v>46226</v>
      </c>
      <c r="B50" s="112" t="s">
        <v>154</v>
      </c>
      <c r="C50" s="130" t="str">
        <f>IF($B50="","",IFERROR(INDEX(Productos!$B:$B,MATCH($B50,Productos!$A:$A,0)),""))</f>
        <v>Jabón de barra</v>
      </c>
      <c r="D50" s="113">
        <v>3</v>
      </c>
      <c r="E50" s="131">
        <f>IF($B50="","",IFERROR(INDEX(Productos!$E:$E,MATCH($B50,Productos!$A:$A,0)),0))</f>
        <v>1900</v>
      </c>
      <c r="F50" s="131">
        <f t="shared" si="1"/>
        <v>5700</v>
      </c>
      <c r="G50" s="130" t="str">
        <f>IF($B50="","",IFERROR(INDEX(Productos!$D:$D,MATCH($B50,Productos!$A:$A,0)),""))</f>
        <v>Química del Sur</v>
      </c>
    </row>
    <row r="51" spans="1:7" ht="15" customHeight="1" x14ac:dyDescent="0.3">
      <c r="A51" s="111">
        <v>46227</v>
      </c>
      <c r="B51" s="112" t="s">
        <v>166</v>
      </c>
      <c r="C51" s="130" t="str">
        <f>IF($B51="","",IFERROR(INDEX(Productos!$B:$B,MATCH($B51,Productos!$A:$A,0)),""))</f>
        <v>Papa kg</v>
      </c>
      <c r="D51" s="113">
        <v>15</v>
      </c>
      <c r="E51" s="131">
        <f>IF($B51="","",IFERROR(INDEX(Productos!$E:$E,MATCH($B51,Productos!$A:$A,0)),0))</f>
        <v>1900</v>
      </c>
      <c r="F51" s="131">
        <f t="shared" si="1"/>
        <v>28500</v>
      </c>
      <c r="G51" s="130" t="str">
        <f>IF($B51="","",IFERROR(INDEX(Productos!$D:$D,MATCH($B51,Productos!$A:$A,0)),""))</f>
        <v>Central de Abastos</v>
      </c>
    </row>
    <row r="52" spans="1:7" ht="15" customHeight="1" x14ac:dyDescent="0.3">
      <c r="A52" s="111">
        <v>46227</v>
      </c>
      <c r="B52" s="112" t="s">
        <v>134</v>
      </c>
      <c r="C52" s="130" t="str">
        <f>IF($B52="","",IFERROR(INDEX(Productos!$B:$B,MATCH($B52,Productos!$A:$A,0)),""))</f>
        <v>Yogur 1 L</v>
      </c>
      <c r="D52" s="113">
        <v>5</v>
      </c>
      <c r="E52" s="131">
        <f>IF($B52="","",IFERROR(INDEX(Productos!$E:$E,MATCH($B52,Productos!$A:$A,0)),0))</f>
        <v>5400</v>
      </c>
      <c r="F52" s="131">
        <f t="shared" si="1"/>
        <v>27000</v>
      </c>
      <c r="G52" s="130" t="str">
        <f>IF($B52="","",IFERROR(INDEX(Productos!$D:$D,MATCH($B52,Productos!$A:$A,0)),""))</f>
        <v>Lácteos del Norte</v>
      </c>
    </row>
    <row r="53" spans="1:7" ht="15" customHeight="1" x14ac:dyDescent="0.3">
      <c r="A53" s="111">
        <v>46227</v>
      </c>
      <c r="B53" s="112" t="s">
        <v>149</v>
      </c>
      <c r="C53" s="130" t="str">
        <f>IF($B53="","",IFERROR(INDEX(Productos!$B:$B,MATCH($B53,Productos!$A:$A,0)),""))</f>
        <v>Papas fritas 105 g</v>
      </c>
      <c r="D53" s="113">
        <v>16</v>
      </c>
      <c r="E53" s="131">
        <f>IF($B53="","",IFERROR(INDEX(Productos!$E:$E,MATCH($B53,Productos!$A:$A,0)),0))</f>
        <v>3200</v>
      </c>
      <c r="F53" s="131">
        <f t="shared" si="1"/>
        <v>51200</v>
      </c>
      <c r="G53" s="130" t="str">
        <f>IF($B53="","",IFERROR(INDEX(Productos!$D:$D,MATCH($B53,Productos!$A:$A,0)),""))</f>
        <v>Snacks Nacional</v>
      </c>
    </row>
    <row r="54" spans="1:7" ht="15" customHeight="1" x14ac:dyDescent="0.3">
      <c r="A54" s="111">
        <v>46227</v>
      </c>
      <c r="B54" s="112" t="s">
        <v>151</v>
      </c>
      <c r="C54" s="130" t="str">
        <f>IF($B54="","",IFERROR(INDEX(Productos!$B:$B,MATCH($B54,Productos!$A:$A,0)),""))</f>
        <v>Detergente 1 kg</v>
      </c>
      <c r="D54" s="113">
        <v>4</v>
      </c>
      <c r="E54" s="131">
        <f>IF($B54="","",IFERROR(INDEX(Productos!$E:$E,MATCH($B54,Productos!$A:$A,0)),0))</f>
        <v>6800</v>
      </c>
      <c r="F54" s="131">
        <f t="shared" si="1"/>
        <v>27200</v>
      </c>
      <c r="G54" s="130" t="str">
        <f>IF($B54="","",IFERROR(INDEX(Productos!$D:$D,MATCH($B54,Productos!$A:$A,0)),""))</f>
        <v>Química del Sur</v>
      </c>
    </row>
    <row r="55" spans="1:7" ht="15" customHeight="1" x14ac:dyDescent="0.3">
      <c r="A55" s="111">
        <v>46228</v>
      </c>
      <c r="B55" s="112" t="s">
        <v>146</v>
      </c>
      <c r="C55" s="130" t="str">
        <f>IF($B55="","",IFERROR(INDEX(Productos!$B:$B,MATCH($B55,Productos!$A:$A,0)),""))</f>
        <v>Galletas surtidas</v>
      </c>
      <c r="D55" s="113">
        <v>20</v>
      </c>
      <c r="E55" s="131">
        <f>IF($B55="","",IFERROR(INDEX(Productos!$E:$E,MATCH($B55,Productos!$A:$A,0)),0))</f>
        <v>1800</v>
      </c>
      <c r="F55" s="131">
        <f t="shared" si="1"/>
        <v>36000</v>
      </c>
      <c r="G55" s="130" t="str">
        <f>IF($B55="","",IFERROR(INDEX(Productos!$D:$D,MATCH($B55,Productos!$A:$A,0)),""))</f>
        <v>Snacks Nacional</v>
      </c>
    </row>
    <row r="56" spans="1:7" ht="15" customHeight="1" x14ac:dyDescent="0.3">
      <c r="A56" s="111">
        <v>46228</v>
      </c>
      <c r="B56" s="112" t="s">
        <v>158</v>
      </c>
      <c r="C56" s="130" t="str">
        <f>IF($B56="","",IFERROR(INDEX(Productos!$B:$B,MATCH($B56,Productos!$A:$A,0)),""))</f>
        <v>Huevos AA x 12</v>
      </c>
      <c r="D56" s="113">
        <v>16</v>
      </c>
      <c r="E56" s="131">
        <f>IF($B56="","",IFERROR(INDEX(Productos!$E:$E,MATCH($B56,Productos!$A:$A,0)),0))</f>
        <v>9200</v>
      </c>
      <c r="F56" s="131">
        <f t="shared" si="1"/>
        <v>147200</v>
      </c>
      <c r="G56" s="130" t="str">
        <f>IF($B56="","",IFERROR(INDEX(Productos!$D:$D,MATCH($B56,Productos!$A:$A,0)),""))</f>
        <v>Avícola La Esperanza</v>
      </c>
    </row>
    <row r="57" spans="1:7" ht="15" customHeight="1" x14ac:dyDescent="0.3">
      <c r="A57" s="111">
        <v>46229</v>
      </c>
      <c r="B57" s="112" t="s">
        <v>136</v>
      </c>
      <c r="C57" s="130" t="str">
        <f>IF($B57="","",IFERROR(INDEX(Productos!$B:$B,MATCH($B57,Productos!$A:$A,0)),""))</f>
        <v>Gaseosa 1,5 L</v>
      </c>
      <c r="D57" s="113">
        <v>11</v>
      </c>
      <c r="E57" s="131">
        <f>IF($B57="","",IFERROR(INDEX(Productos!$E:$E,MATCH($B57,Productos!$A:$A,0)),0))</f>
        <v>3400</v>
      </c>
      <c r="F57" s="131">
        <f t="shared" si="1"/>
        <v>37400</v>
      </c>
      <c r="G57" s="130" t="str">
        <f>IF($B57="","",IFERROR(INDEX(Productos!$D:$D,MATCH($B57,Productos!$A:$A,0)),""))</f>
        <v>Embotelladora Central</v>
      </c>
    </row>
    <row r="58" spans="1:7" ht="15" customHeight="1" x14ac:dyDescent="0.3">
      <c r="A58" s="111">
        <v>46230</v>
      </c>
      <c r="B58" s="112" t="s">
        <v>129</v>
      </c>
      <c r="C58" s="130" t="str">
        <f>IF($B58="","",IFERROR(INDEX(Productos!$B:$B,MATCH($B58,Productos!$A:$A,0)),""))</f>
        <v>Leche entera 1 L</v>
      </c>
      <c r="D58" s="113">
        <v>10</v>
      </c>
      <c r="E58" s="131">
        <f>IF($B58="","",IFERROR(INDEX(Productos!$E:$E,MATCH($B58,Productos!$A:$A,0)),0))</f>
        <v>3100</v>
      </c>
      <c r="F58" s="131">
        <f t="shared" si="1"/>
        <v>31000</v>
      </c>
      <c r="G58" s="130" t="str">
        <f>IF($B58="","",IFERROR(INDEX(Productos!$D:$D,MATCH($B58,Productos!$A:$A,0)),""))</f>
        <v>Lácteos del Norte</v>
      </c>
    </row>
    <row r="59" spans="1:7" ht="15" customHeight="1" x14ac:dyDescent="0.3">
      <c r="A59" s="111">
        <v>46230</v>
      </c>
      <c r="B59" s="112" t="s">
        <v>146</v>
      </c>
      <c r="C59" s="130" t="str">
        <f>IF($B59="","",IFERROR(INDEX(Productos!$B:$B,MATCH($B59,Productos!$A:$A,0)),""))</f>
        <v>Galletas surtidas</v>
      </c>
      <c r="D59" s="113">
        <v>20</v>
      </c>
      <c r="E59" s="131">
        <f>IF($B59="","",IFERROR(INDEX(Productos!$E:$E,MATCH($B59,Productos!$A:$A,0)),0))</f>
        <v>1800</v>
      </c>
      <c r="F59" s="131">
        <f t="shared" si="1"/>
        <v>36000</v>
      </c>
      <c r="G59" s="130" t="str">
        <f>IF($B59="","",IFERROR(INDEX(Productos!$D:$D,MATCH($B59,Productos!$A:$A,0)),""))</f>
        <v>Snacks Nacional</v>
      </c>
    </row>
    <row r="60" spans="1:7" ht="15" customHeight="1" x14ac:dyDescent="0.3">
      <c r="A60" s="111">
        <v>46230</v>
      </c>
      <c r="B60" s="112" t="s">
        <v>126</v>
      </c>
      <c r="C60" s="130" t="str">
        <f>IF($B60="","",IFERROR(INDEX(Productos!$B:$B,MATCH($B60,Productos!$A:$A,0)),""))</f>
        <v>Panela x 500 g</v>
      </c>
      <c r="D60" s="113">
        <v>7</v>
      </c>
      <c r="E60" s="131">
        <f>IF($B60="","",IFERROR(INDEX(Productos!$E:$E,MATCH($B60,Productos!$A:$A,0)),0))</f>
        <v>2100</v>
      </c>
      <c r="F60" s="131">
        <f t="shared" si="1"/>
        <v>14700</v>
      </c>
      <c r="G60" s="130" t="str">
        <f>IF($B60="","",IFERROR(INDEX(Productos!$D:$D,MATCH($B60,Productos!$A:$A,0)),""))</f>
        <v>Agro del Valle</v>
      </c>
    </row>
    <row r="61" spans="1:7" ht="15" customHeight="1" x14ac:dyDescent="0.3">
      <c r="A61" s="111">
        <v>46230</v>
      </c>
      <c r="B61" s="112" t="s">
        <v>154</v>
      </c>
      <c r="C61" s="130" t="str">
        <f>IF($B61="","",IFERROR(INDEX(Productos!$B:$B,MATCH($B61,Productos!$A:$A,0)),""))</f>
        <v>Jabón de barra</v>
      </c>
      <c r="D61" s="113">
        <v>3</v>
      </c>
      <c r="E61" s="131">
        <f>IF($B61="","",IFERROR(INDEX(Productos!$E:$E,MATCH($B61,Productos!$A:$A,0)),0))</f>
        <v>1900</v>
      </c>
      <c r="F61" s="131">
        <f t="shared" si="1"/>
        <v>5700</v>
      </c>
      <c r="G61" s="130" t="str">
        <f>IF($B61="","",IFERROR(INDEX(Productos!$D:$D,MATCH($B61,Productos!$A:$A,0)),""))</f>
        <v>Química del Sur</v>
      </c>
    </row>
    <row r="62" spans="1:7" ht="15" customHeight="1" x14ac:dyDescent="0.3">
      <c r="A62" s="111">
        <v>46230</v>
      </c>
      <c r="B62" s="112" t="s">
        <v>132</v>
      </c>
      <c r="C62" s="130" t="str">
        <f>IF($B62="","",IFERROR(INDEX(Productos!$B:$B,MATCH($B62,Productos!$A:$A,0)),""))</f>
        <v>Queso campesino 500 g</v>
      </c>
      <c r="D62" s="113">
        <v>6</v>
      </c>
      <c r="E62" s="131">
        <f>IF($B62="","",IFERROR(INDEX(Productos!$E:$E,MATCH($B62,Productos!$A:$A,0)),0))</f>
        <v>9800</v>
      </c>
      <c r="F62" s="131">
        <f t="shared" si="1"/>
        <v>58800</v>
      </c>
      <c r="G62" s="130" t="str">
        <f>IF($B62="","",IFERROR(INDEX(Productos!$D:$D,MATCH($B62,Productos!$A:$A,0)),""))</f>
        <v>Lácteos del Norte</v>
      </c>
    </row>
    <row r="63" spans="1:7" ht="15" customHeight="1" x14ac:dyDescent="0.3">
      <c r="A63" s="111">
        <v>46231</v>
      </c>
      <c r="B63" s="112" t="s">
        <v>129</v>
      </c>
      <c r="C63" s="130" t="str">
        <f>IF($B63="","",IFERROR(INDEX(Productos!$B:$B,MATCH($B63,Productos!$A:$A,0)),""))</f>
        <v>Leche entera 1 L</v>
      </c>
      <c r="D63" s="113">
        <v>10</v>
      </c>
      <c r="E63" s="131">
        <f>IF($B63="","",IFERROR(INDEX(Productos!$E:$E,MATCH($B63,Productos!$A:$A,0)),0))</f>
        <v>3100</v>
      </c>
      <c r="F63" s="131">
        <f t="shared" si="1"/>
        <v>31000</v>
      </c>
      <c r="G63" s="130" t="str">
        <f>IF($B63="","",IFERROR(INDEX(Productos!$D:$D,MATCH($B63,Productos!$A:$A,0)),""))</f>
        <v>Lácteos del Norte</v>
      </c>
    </row>
    <row r="64" spans="1:7" ht="15" customHeight="1" x14ac:dyDescent="0.3">
      <c r="A64" s="111">
        <v>46231</v>
      </c>
      <c r="B64" s="112" t="s">
        <v>141</v>
      </c>
      <c r="C64" s="130" t="str">
        <f>IF($B64="","",IFERROR(INDEX(Productos!$B:$B,MATCH($B64,Productos!$A:$A,0)),""))</f>
        <v>Cerveza lata 330 ml</v>
      </c>
      <c r="D64" s="113">
        <v>13</v>
      </c>
      <c r="E64" s="131">
        <f>IF($B64="","",IFERROR(INDEX(Productos!$E:$E,MATCH($B64,Productos!$A:$A,0)),0))</f>
        <v>2600</v>
      </c>
      <c r="F64" s="131">
        <f t="shared" si="1"/>
        <v>33800</v>
      </c>
      <c r="G64" s="130" t="str">
        <f>IF($B64="","",IFERROR(INDEX(Productos!$D:$D,MATCH($B64,Productos!$A:$A,0)),""))</f>
        <v>Embotelladora Central</v>
      </c>
    </row>
    <row r="65" spans="1:7" ht="15" customHeight="1" x14ac:dyDescent="0.3">
      <c r="A65" s="111">
        <v>46231</v>
      </c>
      <c r="B65" s="112" t="s">
        <v>134</v>
      </c>
      <c r="C65" s="130" t="str">
        <f>IF($B65="","",IFERROR(INDEX(Productos!$B:$B,MATCH($B65,Productos!$A:$A,0)),""))</f>
        <v>Yogur 1 L</v>
      </c>
      <c r="D65" s="113">
        <v>5</v>
      </c>
      <c r="E65" s="131">
        <f>IF($B65="","",IFERROR(INDEX(Productos!$E:$E,MATCH($B65,Productos!$A:$A,0)),0))</f>
        <v>5400</v>
      </c>
      <c r="F65" s="131">
        <f t="shared" si="1"/>
        <v>27000</v>
      </c>
      <c r="G65" s="130" t="str">
        <f>IF($B65="","",IFERROR(INDEX(Productos!$D:$D,MATCH($B65,Productos!$A:$A,0)),""))</f>
        <v>Lácteos del Norte</v>
      </c>
    </row>
    <row r="66" spans="1:7" ht="15" customHeight="1" x14ac:dyDescent="0.3">
      <c r="A66" s="111">
        <v>46232</v>
      </c>
      <c r="B66" s="112" t="s">
        <v>166</v>
      </c>
      <c r="C66" s="130" t="str">
        <f>IF($B66="","",IFERROR(INDEX(Productos!$B:$B,MATCH($B66,Productos!$A:$A,0)),""))</f>
        <v>Papa kg</v>
      </c>
      <c r="D66" s="113">
        <v>15</v>
      </c>
      <c r="E66" s="131">
        <f>IF($B66="","",IFERROR(INDEX(Productos!$E:$E,MATCH($B66,Productos!$A:$A,0)),0))</f>
        <v>1900</v>
      </c>
      <c r="F66" s="131">
        <f t="shared" si="1"/>
        <v>28500</v>
      </c>
      <c r="G66" s="130" t="str">
        <f>IF($B66="","",IFERROR(INDEX(Productos!$D:$D,MATCH($B66,Productos!$A:$A,0)),""))</f>
        <v>Central de Abastos</v>
      </c>
    </row>
    <row r="67" spans="1:7" ht="15" customHeight="1" x14ac:dyDescent="0.3">
      <c r="A67" s="111">
        <v>46232</v>
      </c>
      <c r="B67" s="112" t="s">
        <v>168</v>
      </c>
      <c r="C67" s="130" t="str">
        <f>IF($B67="","",IFERROR(INDEX(Productos!$B:$B,MATCH($B67,Productos!$A:$A,0)),""))</f>
        <v>Banano kg</v>
      </c>
      <c r="D67" s="113">
        <v>9</v>
      </c>
      <c r="E67" s="131">
        <f>IF($B67="","",IFERROR(INDEX(Productos!$E:$E,MATCH($B67,Productos!$A:$A,0)),0))</f>
        <v>2200</v>
      </c>
      <c r="F67" s="131">
        <f t="shared" si="1"/>
        <v>19800</v>
      </c>
      <c r="G67" s="130" t="str">
        <f>IF($B67="","",IFERROR(INDEX(Productos!$D:$D,MATCH($B67,Productos!$A:$A,0)),""))</f>
        <v>Central de Abastos</v>
      </c>
    </row>
    <row r="68" spans="1:7" ht="15" customHeight="1" x14ac:dyDescent="0.3">
      <c r="A68" s="111">
        <v>46232</v>
      </c>
      <c r="B68" s="112" t="s">
        <v>121</v>
      </c>
      <c r="C68" s="130" t="str">
        <f>IF($B68="","",IFERROR(INDEX(Productos!$B:$B,MATCH($B68,Productos!$A:$A,0)),""))</f>
        <v>Arroz x 500 g</v>
      </c>
      <c r="D68" s="113">
        <v>11</v>
      </c>
      <c r="E68" s="131">
        <f>IF($B68="","",IFERROR(INDEX(Productos!$E:$E,MATCH($B68,Productos!$A:$A,0)),0))</f>
        <v>1850</v>
      </c>
      <c r="F68" s="131">
        <f t="shared" si="1"/>
        <v>20350</v>
      </c>
      <c r="G68" s="130" t="str">
        <f>IF($B68="","",IFERROR(INDEX(Productos!$D:$D,MATCH($B68,Productos!$A:$A,0)),""))</f>
        <v>Distribuidora Andina</v>
      </c>
    </row>
    <row r="69" spans="1:7" ht="15" customHeight="1" x14ac:dyDescent="0.3">
      <c r="C69" s="2" t="s">
        <v>71</v>
      </c>
      <c r="D69" s="132">
        <f>SUM(D5:D68)</f>
        <v>663</v>
      </c>
      <c r="F69" s="133">
        <f>SUM(F5:F68)</f>
        <v>2512300</v>
      </c>
    </row>
  </sheetData>
  <sheetProtection sheet="1" objects="1" scenarios="1" insertHyperlinks="0" sort="0" autoFilter="0"/>
  <autoFilter ref="A4:G68" xr:uid="{00000000-0009-0000-0000-000003000000}"/>
  <mergeCells count="2">
    <mergeCell ref="A2:G2"/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F13" sqref="F13"/>
    </sheetView>
  </sheetViews>
  <sheetFormatPr baseColWidth="10" defaultColWidth="8.6640625" defaultRowHeight="14.4" x14ac:dyDescent="0.3"/>
  <cols>
    <col min="1" max="1" width="12" style="6" customWidth="1"/>
    <col min="2" max="2" width="9" style="6" customWidth="1"/>
    <col min="3" max="3" width="26" style="6" customWidth="1"/>
    <col min="4" max="4" width="10" style="6" customWidth="1"/>
    <col min="5" max="8" width="13" style="6" customWidth="1"/>
    <col min="9" max="10" width="12" style="6" customWidth="1"/>
    <col min="11" max="11" width="16" style="6" customWidth="1"/>
    <col min="12" max="12" width="20" style="6" customWidth="1"/>
    <col min="13" max="16384" width="8.6640625" style="6"/>
  </cols>
  <sheetData>
    <row r="1" spans="1:12" ht="27.75" customHeight="1" x14ac:dyDescent="0.3">
      <c r="A1" s="89" t="s">
        <v>175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5" customHeight="1" x14ac:dyDescent="0.3">
      <c r="A2" s="70" t="s">
        <v>212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15" customHeight="1" x14ac:dyDescent="0.3">
      <c r="A3" s="50"/>
    </row>
    <row r="4" spans="1:12" ht="31.5" customHeight="1" x14ac:dyDescent="0.3">
      <c r="A4" s="46" t="s">
        <v>172</v>
      </c>
      <c r="B4" s="46" t="s">
        <v>112</v>
      </c>
      <c r="C4" s="46" t="s">
        <v>84</v>
      </c>
      <c r="D4" s="46" t="s">
        <v>173</v>
      </c>
      <c r="E4" s="46" t="s">
        <v>176</v>
      </c>
      <c r="F4" s="46" t="s">
        <v>52</v>
      </c>
      <c r="G4" s="46" t="s">
        <v>114</v>
      </c>
      <c r="H4" s="46" t="s">
        <v>174</v>
      </c>
      <c r="I4" s="46" t="s">
        <v>49</v>
      </c>
      <c r="J4" s="46" t="s">
        <v>97</v>
      </c>
      <c r="K4" s="46" t="s">
        <v>76</v>
      </c>
      <c r="L4" s="47" t="s">
        <v>47</v>
      </c>
    </row>
    <row r="5" spans="1:12" ht="15" customHeight="1" x14ac:dyDescent="0.3">
      <c r="A5" s="105">
        <v>46204</v>
      </c>
      <c r="B5" s="106" t="s">
        <v>124</v>
      </c>
      <c r="C5" s="119" t="str">
        <f>IF($B5="","",IFERROR(INDEX(Productos!$B:$B,MATCH($B5,Productos!$A:$A,0)),""))</f>
        <v>Aceite girasol 1 L</v>
      </c>
      <c r="D5" s="107">
        <v>1</v>
      </c>
      <c r="E5" s="120">
        <f>IF($B5="","",IFERROR(INDEX(Productos!$F:$F,MATCH($B5,Productos!$A:$A,0)),0))</f>
        <v>9500</v>
      </c>
      <c r="F5" s="120">
        <f t="shared" ref="F5:F68" si="0">IF($B5="","",N(D5)*E5)</f>
        <v>9500</v>
      </c>
      <c r="G5" s="120">
        <f>IF($B5="","",IFERROR(INDEX(Productos!$E:$E,MATCH($B5,Productos!$A:$A,0)),0))</f>
        <v>7200</v>
      </c>
      <c r="H5" s="120">
        <f t="shared" ref="H5:H68" si="1">IF($B5="","",N(D5)*G5)</f>
        <v>7200</v>
      </c>
      <c r="I5" s="120">
        <f t="shared" ref="I5:I68" si="2">IF($B5="","",F5-H5)</f>
        <v>2300</v>
      </c>
      <c r="J5" s="106" t="s">
        <v>106</v>
      </c>
      <c r="K5" s="106" t="s">
        <v>78</v>
      </c>
      <c r="L5" s="119" t="str">
        <f>IF($B5="","",IFERROR(INDEX(Productos!$C:$C,MATCH($B5,Productos!$A:$A,0)),""))</f>
        <v>Granos y abarrotes</v>
      </c>
    </row>
    <row r="6" spans="1:12" ht="15" customHeight="1" x14ac:dyDescent="0.3">
      <c r="A6" s="105">
        <v>46204</v>
      </c>
      <c r="B6" s="106" t="s">
        <v>129</v>
      </c>
      <c r="C6" s="119" t="str">
        <f>IF($B6="","",IFERROR(INDEX(Productos!$B:$B,MATCH($B6,Productos!$A:$A,0)),""))</f>
        <v>Leche entera 1 L</v>
      </c>
      <c r="D6" s="107">
        <v>2</v>
      </c>
      <c r="E6" s="120">
        <f>IF($B6="","",IFERROR(INDEX(Productos!$F:$F,MATCH($B6,Productos!$A:$A,0)),0))</f>
        <v>3900</v>
      </c>
      <c r="F6" s="120">
        <f t="shared" si="0"/>
        <v>7800</v>
      </c>
      <c r="G6" s="120">
        <f>IF($B6="","",IFERROR(INDEX(Productos!$E:$E,MATCH($B6,Productos!$A:$A,0)),0))</f>
        <v>3100</v>
      </c>
      <c r="H6" s="120">
        <f t="shared" si="1"/>
        <v>6200</v>
      </c>
      <c r="I6" s="120">
        <f t="shared" si="2"/>
        <v>1600</v>
      </c>
      <c r="J6" s="106" t="s">
        <v>102</v>
      </c>
      <c r="K6" s="106" t="s">
        <v>79</v>
      </c>
      <c r="L6" s="119" t="str">
        <f>IF($B6="","",IFERROR(INDEX(Productos!$C:$C,MATCH($B6,Productos!$A:$A,0)),""))</f>
        <v>Lácteos</v>
      </c>
    </row>
    <row r="7" spans="1:12" ht="15" customHeight="1" x14ac:dyDescent="0.3">
      <c r="A7" s="105">
        <v>46204</v>
      </c>
      <c r="B7" s="106" t="s">
        <v>136</v>
      </c>
      <c r="C7" s="119" t="str">
        <f>IF($B7="","",IFERROR(INDEX(Productos!$B:$B,MATCH($B7,Productos!$A:$A,0)),""))</f>
        <v>Gaseosa 1,5 L</v>
      </c>
      <c r="D7" s="107">
        <v>4</v>
      </c>
      <c r="E7" s="120">
        <f>IF($B7="","",IFERROR(INDEX(Productos!$F:$F,MATCH($B7,Productos!$A:$A,0)),0))</f>
        <v>4500</v>
      </c>
      <c r="F7" s="120">
        <f t="shared" si="0"/>
        <v>18000</v>
      </c>
      <c r="G7" s="120">
        <f>IF($B7="","",IFERROR(INDEX(Productos!$E:$E,MATCH($B7,Productos!$A:$A,0)),0))</f>
        <v>3400</v>
      </c>
      <c r="H7" s="120">
        <f t="shared" si="1"/>
        <v>13600</v>
      </c>
      <c r="I7" s="120">
        <f t="shared" si="2"/>
        <v>4400</v>
      </c>
      <c r="J7" s="106" t="s">
        <v>102</v>
      </c>
      <c r="K7" s="106" t="s">
        <v>80</v>
      </c>
      <c r="L7" s="119" t="str">
        <f>IF($B7="","",IFERROR(INDEX(Productos!$C:$C,MATCH($B7,Productos!$A:$A,0)),""))</f>
        <v>Bebidas</v>
      </c>
    </row>
    <row r="8" spans="1:12" ht="15" customHeight="1" x14ac:dyDescent="0.3">
      <c r="A8" s="105">
        <v>46204</v>
      </c>
      <c r="B8" s="106" t="s">
        <v>139</v>
      </c>
      <c r="C8" s="119" t="str">
        <f>IF($B8="","",IFERROR(INDEX(Productos!$B:$B,MATCH($B8,Productos!$A:$A,0)),""))</f>
        <v>Agua 600 ml</v>
      </c>
      <c r="D8" s="107">
        <v>3</v>
      </c>
      <c r="E8" s="120">
        <f>IF($B8="","",IFERROR(INDEX(Productos!$F:$F,MATCH($B8,Productos!$A:$A,0)),0))</f>
        <v>1800</v>
      </c>
      <c r="F8" s="120">
        <f t="shared" si="0"/>
        <v>5400</v>
      </c>
      <c r="G8" s="120">
        <f>IF($B8="","",IFERROR(INDEX(Productos!$E:$E,MATCH($B8,Productos!$A:$A,0)),0))</f>
        <v>1200</v>
      </c>
      <c r="H8" s="120">
        <f t="shared" si="1"/>
        <v>3600</v>
      </c>
      <c r="I8" s="120">
        <f t="shared" si="2"/>
        <v>1800</v>
      </c>
      <c r="J8" s="106" t="s">
        <v>102</v>
      </c>
      <c r="K8" s="106" t="s">
        <v>78</v>
      </c>
      <c r="L8" s="119" t="str">
        <f>IF($B8="","",IFERROR(INDEX(Productos!$C:$C,MATCH($B8,Productos!$A:$A,0)),""))</f>
        <v>Bebidas</v>
      </c>
    </row>
    <row r="9" spans="1:12" ht="15" customHeight="1" x14ac:dyDescent="0.3">
      <c r="A9" s="105">
        <v>46204</v>
      </c>
      <c r="B9" s="106" t="s">
        <v>141</v>
      </c>
      <c r="C9" s="119" t="str">
        <f>IF($B9="","",IFERROR(INDEX(Productos!$B:$B,MATCH($B9,Productos!$A:$A,0)),""))</f>
        <v>Cerveza lata 330 ml</v>
      </c>
      <c r="D9" s="107">
        <v>3</v>
      </c>
      <c r="E9" s="120">
        <f>IF($B9="","",IFERROR(INDEX(Productos!$F:$F,MATCH($B9,Productos!$A:$A,0)),0))</f>
        <v>3800</v>
      </c>
      <c r="F9" s="120">
        <f t="shared" si="0"/>
        <v>11400</v>
      </c>
      <c r="G9" s="120">
        <f>IF($B9="","",IFERROR(INDEX(Productos!$E:$E,MATCH($B9,Productos!$A:$A,0)),0))</f>
        <v>2600</v>
      </c>
      <c r="H9" s="120">
        <f t="shared" si="1"/>
        <v>7800</v>
      </c>
      <c r="I9" s="120">
        <f t="shared" si="2"/>
        <v>3600</v>
      </c>
      <c r="J9" s="106" t="s">
        <v>104</v>
      </c>
      <c r="K9" s="106" t="s">
        <v>78</v>
      </c>
      <c r="L9" s="119" t="str">
        <f>IF($B9="","",IFERROR(INDEX(Productos!$C:$C,MATCH($B9,Productos!$A:$A,0)),""))</f>
        <v>Bebidas</v>
      </c>
    </row>
    <row r="10" spans="1:12" ht="15" customHeight="1" x14ac:dyDescent="0.3">
      <c r="A10" s="105">
        <v>46204</v>
      </c>
      <c r="B10" s="106" t="s">
        <v>143</v>
      </c>
      <c r="C10" s="119" t="str">
        <f>IF($B10="","",IFERROR(INDEX(Productos!$B:$B,MATCH($B10,Productos!$A:$A,0)),""))</f>
        <v>Pan tajado 500 g</v>
      </c>
      <c r="D10" s="107">
        <v>1</v>
      </c>
      <c r="E10" s="120">
        <f>IF($B10="","",IFERROR(INDEX(Productos!$F:$F,MATCH($B10,Productos!$A:$A,0)),0))</f>
        <v>5200</v>
      </c>
      <c r="F10" s="120">
        <f t="shared" si="0"/>
        <v>5200</v>
      </c>
      <c r="G10" s="120">
        <f>IF($B10="","",IFERROR(INDEX(Productos!$E:$E,MATCH($B10,Productos!$A:$A,0)),0))</f>
        <v>3900</v>
      </c>
      <c r="H10" s="120">
        <f t="shared" si="1"/>
        <v>3900</v>
      </c>
      <c r="I10" s="120">
        <f t="shared" si="2"/>
        <v>1300</v>
      </c>
      <c r="J10" s="106" t="s">
        <v>102</v>
      </c>
      <c r="K10" s="106" t="s">
        <v>79</v>
      </c>
      <c r="L10" s="119" t="str">
        <f>IF($B10="","",IFERROR(INDEX(Productos!$C:$C,MATCH($B10,Productos!$A:$A,0)),""))</f>
        <v>Panadería</v>
      </c>
    </row>
    <row r="11" spans="1:12" ht="15" customHeight="1" x14ac:dyDescent="0.3">
      <c r="A11" s="105">
        <v>46204</v>
      </c>
      <c r="B11" s="106" t="s">
        <v>146</v>
      </c>
      <c r="C11" s="119" t="str">
        <f>IF($B11="","",IFERROR(INDEX(Productos!$B:$B,MATCH($B11,Productos!$A:$A,0)),""))</f>
        <v>Galletas surtidas</v>
      </c>
      <c r="D11" s="107">
        <v>2</v>
      </c>
      <c r="E11" s="120">
        <f>IF($B11="","",IFERROR(INDEX(Productos!$F:$F,MATCH($B11,Productos!$A:$A,0)),0))</f>
        <v>2700</v>
      </c>
      <c r="F11" s="120">
        <f t="shared" si="0"/>
        <v>5400</v>
      </c>
      <c r="G11" s="120">
        <f>IF($B11="","",IFERROR(INDEX(Productos!$E:$E,MATCH($B11,Productos!$A:$A,0)),0))</f>
        <v>1800</v>
      </c>
      <c r="H11" s="120">
        <f t="shared" si="1"/>
        <v>3600</v>
      </c>
      <c r="I11" s="120">
        <f t="shared" si="2"/>
        <v>1800</v>
      </c>
      <c r="J11" s="106" t="s">
        <v>102</v>
      </c>
      <c r="K11" s="106" t="s">
        <v>80</v>
      </c>
      <c r="L11" s="119" t="str">
        <f>IF($B11="","",IFERROR(INDEX(Productos!$C:$C,MATCH($B11,Productos!$A:$A,0)),""))</f>
        <v>Snacks</v>
      </c>
    </row>
    <row r="12" spans="1:12" ht="15" customHeight="1" x14ac:dyDescent="0.3">
      <c r="A12" s="105">
        <v>46204</v>
      </c>
      <c r="B12" s="106" t="s">
        <v>158</v>
      </c>
      <c r="C12" s="119" t="str">
        <f>IF($B12="","",IFERROR(INDEX(Productos!$B:$B,MATCH($B12,Productos!$A:$A,0)),""))</f>
        <v>Huevos AA x 12</v>
      </c>
      <c r="D12" s="107">
        <v>2</v>
      </c>
      <c r="E12" s="120">
        <f>IF($B12="","",IFERROR(INDEX(Productos!$F:$F,MATCH($B12,Productos!$A:$A,0)),0))</f>
        <v>12000</v>
      </c>
      <c r="F12" s="120">
        <f t="shared" si="0"/>
        <v>24000</v>
      </c>
      <c r="G12" s="120">
        <f>IF($B12="","",IFERROR(INDEX(Productos!$E:$E,MATCH($B12,Productos!$A:$A,0)),0))</f>
        <v>9200</v>
      </c>
      <c r="H12" s="120">
        <f t="shared" si="1"/>
        <v>18400</v>
      </c>
      <c r="I12" s="120">
        <f t="shared" si="2"/>
        <v>5600</v>
      </c>
      <c r="J12" s="106" t="s">
        <v>102</v>
      </c>
      <c r="K12" s="106" t="s">
        <v>80</v>
      </c>
      <c r="L12" s="119" t="str">
        <f>IF($B12="","",IFERROR(INDEX(Productos!$C:$C,MATCH($B12,Productos!$A:$A,0)),""))</f>
        <v>Perecederos</v>
      </c>
    </row>
    <row r="13" spans="1:12" ht="15" customHeight="1" x14ac:dyDescent="0.3">
      <c r="A13" s="105">
        <v>46204</v>
      </c>
      <c r="B13" s="106" t="s">
        <v>163</v>
      </c>
      <c r="C13" s="119" t="str">
        <f>IF($B13="","",IFERROR(INDEX(Productos!$B:$B,MATCH($B13,Productos!$A:$A,0)),""))</f>
        <v>Tomate kg</v>
      </c>
      <c r="D13" s="107">
        <v>1</v>
      </c>
      <c r="E13" s="120">
        <f>IF($B13="","",IFERROR(INDEX(Productos!$F:$F,MATCH($B13,Productos!$A:$A,0)),0))</f>
        <v>4200</v>
      </c>
      <c r="F13" s="120">
        <f t="shared" si="0"/>
        <v>4200</v>
      </c>
      <c r="G13" s="120">
        <f>IF($B13="","",IFERROR(INDEX(Productos!$E:$E,MATCH($B13,Productos!$A:$A,0)),0))</f>
        <v>2800</v>
      </c>
      <c r="H13" s="120">
        <f t="shared" si="1"/>
        <v>2800</v>
      </c>
      <c r="I13" s="120">
        <f t="shared" si="2"/>
        <v>1400</v>
      </c>
      <c r="J13" s="106" t="s">
        <v>106</v>
      </c>
      <c r="K13" s="106" t="s">
        <v>79</v>
      </c>
      <c r="L13" s="119" t="str">
        <f>IF($B13="","",IFERROR(INDEX(Productos!$C:$C,MATCH($B13,Productos!$A:$A,0)),""))</f>
        <v>Frutas y verduras</v>
      </c>
    </row>
    <row r="14" spans="1:12" ht="15" customHeight="1" x14ac:dyDescent="0.3">
      <c r="A14" s="105">
        <v>46204</v>
      </c>
      <c r="B14" s="106" t="s">
        <v>166</v>
      </c>
      <c r="C14" s="119" t="str">
        <f>IF($B14="","",IFERROR(INDEX(Productos!$B:$B,MATCH($B14,Productos!$A:$A,0)),""))</f>
        <v>Papa kg</v>
      </c>
      <c r="D14" s="107">
        <v>4</v>
      </c>
      <c r="E14" s="120">
        <f>IF($B14="","",IFERROR(INDEX(Productos!$F:$F,MATCH($B14,Productos!$A:$A,0)),0))</f>
        <v>2800</v>
      </c>
      <c r="F14" s="120">
        <f t="shared" si="0"/>
        <v>11200</v>
      </c>
      <c r="G14" s="120">
        <f>IF($B14="","",IFERROR(INDEX(Productos!$E:$E,MATCH($B14,Productos!$A:$A,0)),0))</f>
        <v>1900</v>
      </c>
      <c r="H14" s="120">
        <f t="shared" si="1"/>
        <v>7600</v>
      </c>
      <c r="I14" s="120">
        <f t="shared" si="2"/>
        <v>3600</v>
      </c>
      <c r="J14" s="106" t="s">
        <v>102</v>
      </c>
      <c r="K14" s="106" t="s">
        <v>80</v>
      </c>
      <c r="L14" s="119" t="str">
        <f>IF($B14="","",IFERROR(INDEX(Productos!$C:$C,MATCH($B14,Productos!$A:$A,0)),""))</f>
        <v>Frutas y verduras</v>
      </c>
    </row>
    <row r="15" spans="1:12" ht="15" customHeight="1" x14ac:dyDescent="0.3">
      <c r="A15" s="105">
        <v>46205</v>
      </c>
      <c r="B15" s="106" t="s">
        <v>129</v>
      </c>
      <c r="C15" s="119" t="str">
        <f>IF($B15="","",IFERROR(INDEX(Productos!$B:$B,MATCH($B15,Productos!$A:$A,0)),""))</f>
        <v>Leche entera 1 L</v>
      </c>
      <c r="D15" s="107">
        <v>2</v>
      </c>
      <c r="E15" s="120">
        <f>IF($B15="","",IFERROR(INDEX(Productos!$F:$F,MATCH($B15,Productos!$A:$A,0)),0))</f>
        <v>3900</v>
      </c>
      <c r="F15" s="120">
        <f t="shared" si="0"/>
        <v>7800</v>
      </c>
      <c r="G15" s="120">
        <f>IF($B15="","",IFERROR(INDEX(Productos!$E:$E,MATCH($B15,Productos!$A:$A,0)),0))</f>
        <v>3100</v>
      </c>
      <c r="H15" s="120">
        <f t="shared" si="1"/>
        <v>6200</v>
      </c>
      <c r="I15" s="120">
        <f t="shared" si="2"/>
        <v>1600</v>
      </c>
      <c r="J15" s="106" t="s">
        <v>106</v>
      </c>
      <c r="K15" s="106" t="s">
        <v>79</v>
      </c>
      <c r="L15" s="119" t="str">
        <f>IF($B15="","",IFERROR(INDEX(Productos!$C:$C,MATCH($B15,Productos!$A:$A,0)),""))</f>
        <v>Lácteos</v>
      </c>
    </row>
    <row r="16" spans="1:12" ht="15" customHeight="1" x14ac:dyDescent="0.3">
      <c r="A16" s="105">
        <v>46205</v>
      </c>
      <c r="B16" s="106" t="s">
        <v>136</v>
      </c>
      <c r="C16" s="119" t="str">
        <f>IF($B16="","",IFERROR(INDEX(Productos!$B:$B,MATCH($B16,Productos!$A:$A,0)),""))</f>
        <v>Gaseosa 1,5 L</v>
      </c>
      <c r="D16" s="107">
        <v>2</v>
      </c>
      <c r="E16" s="120">
        <f>IF($B16="","",IFERROR(INDEX(Productos!$F:$F,MATCH($B16,Productos!$A:$A,0)),0))</f>
        <v>4500</v>
      </c>
      <c r="F16" s="120">
        <f t="shared" si="0"/>
        <v>9000</v>
      </c>
      <c r="G16" s="120">
        <f>IF($B16="","",IFERROR(INDEX(Productos!$E:$E,MATCH($B16,Productos!$A:$A,0)),0))</f>
        <v>3400</v>
      </c>
      <c r="H16" s="120">
        <f t="shared" si="1"/>
        <v>6800</v>
      </c>
      <c r="I16" s="120">
        <f t="shared" si="2"/>
        <v>2200</v>
      </c>
      <c r="J16" s="106" t="s">
        <v>102</v>
      </c>
      <c r="K16" s="106" t="s">
        <v>78</v>
      </c>
      <c r="L16" s="119" t="str">
        <f>IF($B16="","",IFERROR(INDEX(Productos!$C:$C,MATCH($B16,Productos!$A:$A,0)),""))</f>
        <v>Bebidas</v>
      </c>
    </row>
    <row r="17" spans="1:12" ht="15" customHeight="1" x14ac:dyDescent="0.3">
      <c r="A17" s="105">
        <v>46205</v>
      </c>
      <c r="B17" s="106" t="s">
        <v>141</v>
      </c>
      <c r="C17" s="119" t="str">
        <f>IF($B17="","",IFERROR(INDEX(Productos!$B:$B,MATCH($B17,Productos!$A:$A,0)),""))</f>
        <v>Cerveza lata 330 ml</v>
      </c>
      <c r="D17" s="107">
        <v>4</v>
      </c>
      <c r="E17" s="120">
        <f>IF($B17="","",IFERROR(INDEX(Productos!$F:$F,MATCH($B17,Productos!$A:$A,0)),0))</f>
        <v>3800</v>
      </c>
      <c r="F17" s="120">
        <f t="shared" si="0"/>
        <v>15200</v>
      </c>
      <c r="G17" s="120">
        <f>IF($B17="","",IFERROR(INDEX(Productos!$E:$E,MATCH($B17,Productos!$A:$A,0)),0))</f>
        <v>2600</v>
      </c>
      <c r="H17" s="120">
        <f t="shared" si="1"/>
        <v>10400</v>
      </c>
      <c r="I17" s="120">
        <f t="shared" si="2"/>
        <v>4800</v>
      </c>
      <c r="J17" s="106" t="s">
        <v>108</v>
      </c>
      <c r="K17" s="106" t="s">
        <v>79</v>
      </c>
      <c r="L17" s="119" t="str">
        <f>IF($B17="","",IFERROR(INDEX(Productos!$C:$C,MATCH($B17,Productos!$A:$A,0)),""))</f>
        <v>Bebidas</v>
      </c>
    </row>
    <row r="18" spans="1:12" ht="15" customHeight="1" x14ac:dyDescent="0.3">
      <c r="A18" s="105">
        <v>46205</v>
      </c>
      <c r="B18" s="106" t="s">
        <v>143</v>
      </c>
      <c r="C18" s="119" t="str">
        <f>IF($B18="","",IFERROR(INDEX(Productos!$B:$B,MATCH($B18,Productos!$A:$A,0)),""))</f>
        <v>Pan tajado 500 g</v>
      </c>
      <c r="D18" s="107">
        <v>2</v>
      </c>
      <c r="E18" s="120">
        <f>IF($B18="","",IFERROR(INDEX(Productos!$F:$F,MATCH($B18,Productos!$A:$A,0)),0))</f>
        <v>5200</v>
      </c>
      <c r="F18" s="120">
        <f t="shared" si="0"/>
        <v>10400</v>
      </c>
      <c r="G18" s="120">
        <f>IF($B18="","",IFERROR(INDEX(Productos!$E:$E,MATCH($B18,Productos!$A:$A,0)),0))</f>
        <v>3900</v>
      </c>
      <c r="H18" s="120">
        <f t="shared" si="1"/>
        <v>7800</v>
      </c>
      <c r="I18" s="120">
        <f t="shared" si="2"/>
        <v>2600</v>
      </c>
      <c r="J18" s="106" t="s">
        <v>106</v>
      </c>
      <c r="K18" s="106" t="s">
        <v>78</v>
      </c>
      <c r="L18" s="119" t="str">
        <f>IF($B18="","",IFERROR(INDEX(Productos!$C:$C,MATCH($B18,Productos!$A:$A,0)),""))</f>
        <v>Panadería</v>
      </c>
    </row>
    <row r="19" spans="1:12" ht="15" customHeight="1" x14ac:dyDescent="0.3">
      <c r="A19" s="105">
        <v>46205</v>
      </c>
      <c r="B19" s="106" t="s">
        <v>146</v>
      </c>
      <c r="C19" s="119" t="str">
        <f>IF($B19="","",IFERROR(INDEX(Productos!$B:$B,MATCH($B19,Productos!$A:$A,0)),""))</f>
        <v>Galletas surtidas</v>
      </c>
      <c r="D19" s="107">
        <v>1</v>
      </c>
      <c r="E19" s="120">
        <f>IF($B19="","",IFERROR(INDEX(Productos!$F:$F,MATCH($B19,Productos!$A:$A,0)),0))</f>
        <v>2700</v>
      </c>
      <c r="F19" s="120">
        <f t="shared" si="0"/>
        <v>2700</v>
      </c>
      <c r="G19" s="120">
        <f>IF($B19="","",IFERROR(INDEX(Productos!$E:$E,MATCH($B19,Productos!$A:$A,0)),0))</f>
        <v>1800</v>
      </c>
      <c r="H19" s="120">
        <f t="shared" si="1"/>
        <v>1800</v>
      </c>
      <c r="I19" s="120">
        <f t="shared" si="2"/>
        <v>900</v>
      </c>
      <c r="J19" s="106" t="s">
        <v>108</v>
      </c>
      <c r="K19" s="106" t="s">
        <v>81</v>
      </c>
      <c r="L19" s="119" t="str">
        <f>IF($B19="","",IFERROR(INDEX(Productos!$C:$C,MATCH($B19,Productos!$A:$A,0)),""))</f>
        <v>Snacks</v>
      </c>
    </row>
    <row r="20" spans="1:12" ht="15" customHeight="1" x14ac:dyDescent="0.3">
      <c r="A20" s="105">
        <v>46205</v>
      </c>
      <c r="B20" s="106" t="s">
        <v>156</v>
      </c>
      <c r="C20" s="119" t="str">
        <f>IF($B20="","",IFERROR(INDEX(Productos!$B:$B,MATCH($B20,Productos!$A:$A,0)),""))</f>
        <v>Papel higiénico x 4</v>
      </c>
      <c r="D20" s="107">
        <v>2</v>
      </c>
      <c r="E20" s="120">
        <f>IF($B20="","",IFERROR(INDEX(Productos!$F:$F,MATCH($B20,Productos!$A:$A,0)),0))</f>
        <v>7800</v>
      </c>
      <c r="F20" s="120">
        <f t="shared" si="0"/>
        <v>15600</v>
      </c>
      <c r="G20" s="120">
        <f>IF($B20="","",IFERROR(INDEX(Productos!$E:$E,MATCH($B20,Productos!$A:$A,0)),0))</f>
        <v>5600</v>
      </c>
      <c r="H20" s="120">
        <f t="shared" si="1"/>
        <v>11200</v>
      </c>
      <c r="I20" s="120">
        <f t="shared" si="2"/>
        <v>4400</v>
      </c>
      <c r="J20" s="106" t="s">
        <v>106</v>
      </c>
      <c r="K20" s="106" t="s">
        <v>79</v>
      </c>
      <c r="L20" s="119" t="str">
        <f>IF($B20="","",IFERROR(INDEX(Productos!$C:$C,MATCH($B20,Productos!$A:$A,0)),""))</f>
        <v>Aseo hogar</v>
      </c>
    </row>
    <row r="21" spans="1:12" ht="15" customHeight="1" x14ac:dyDescent="0.3">
      <c r="A21" s="105">
        <v>46205</v>
      </c>
      <c r="B21" s="106" t="s">
        <v>158</v>
      </c>
      <c r="C21" s="119" t="str">
        <f>IF($B21="","",IFERROR(INDEX(Productos!$B:$B,MATCH($B21,Productos!$A:$A,0)),""))</f>
        <v>Huevos AA x 12</v>
      </c>
      <c r="D21" s="107">
        <v>1</v>
      </c>
      <c r="E21" s="120">
        <f>IF($B21="","",IFERROR(INDEX(Productos!$F:$F,MATCH($B21,Productos!$A:$A,0)),0))</f>
        <v>12000</v>
      </c>
      <c r="F21" s="120">
        <f t="shared" si="0"/>
        <v>12000</v>
      </c>
      <c r="G21" s="120">
        <f>IF($B21="","",IFERROR(INDEX(Productos!$E:$E,MATCH($B21,Productos!$A:$A,0)),0))</f>
        <v>9200</v>
      </c>
      <c r="H21" s="120">
        <f t="shared" si="1"/>
        <v>9200</v>
      </c>
      <c r="I21" s="120">
        <f t="shared" si="2"/>
        <v>2800</v>
      </c>
      <c r="J21" s="106" t="s">
        <v>102</v>
      </c>
      <c r="K21" s="106" t="s">
        <v>81</v>
      </c>
      <c r="L21" s="119" t="str">
        <f>IF($B21="","",IFERROR(INDEX(Productos!$C:$C,MATCH($B21,Productos!$A:$A,0)),""))</f>
        <v>Perecederos</v>
      </c>
    </row>
    <row r="22" spans="1:12" ht="15" customHeight="1" x14ac:dyDescent="0.3">
      <c r="A22" s="105">
        <v>46205</v>
      </c>
      <c r="B22" s="106" t="s">
        <v>161</v>
      </c>
      <c r="C22" s="119" t="str">
        <f>IF($B22="","",IFERROR(INDEX(Productos!$B:$B,MATCH($B22,Productos!$A:$A,0)),""))</f>
        <v>Pollo entero kg</v>
      </c>
      <c r="D22" s="107">
        <v>1</v>
      </c>
      <c r="E22" s="120">
        <f>IF($B22="","",IFERROR(INDEX(Productos!$F:$F,MATCH($B22,Productos!$A:$A,0)),0))</f>
        <v>14800</v>
      </c>
      <c r="F22" s="120">
        <f t="shared" si="0"/>
        <v>14800</v>
      </c>
      <c r="G22" s="120">
        <f>IF($B22="","",IFERROR(INDEX(Productos!$E:$E,MATCH($B22,Productos!$A:$A,0)),0))</f>
        <v>11500</v>
      </c>
      <c r="H22" s="120">
        <f t="shared" si="1"/>
        <v>11500</v>
      </c>
      <c r="I22" s="120">
        <f t="shared" si="2"/>
        <v>3300</v>
      </c>
      <c r="J22" s="106" t="s">
        <v>104</v>
      </c>
      <c r="K22" s="106" t="s">
        <v>80</v>
      </c>
      <c r="L22" s="119" t="str">
        <f>IF($B22="","",IFERROR(INDEX(Productos!$C:$C,MATCH($B22,Productos!$A:$A,0)),""))</f>
        <v>Perecederos</v>
      </c>
    </row>
    <row r="23" spans="1:12" ht="15" customHeight="1" x14ac:dyDescent="0.3">
      <c r="A23" s="105">
        <v>46205</v>
      </c>
      <c r="B23" s="106" t="s">
        <v>163</v>
      </c>
      <c r="C23" s="119" t="str">
        <f>IF($B23="","",IFERROR(INDEX(Productos!$B:$B,MATCH($B23,Productos!$A:$A,0)),""))</f>
        <v>Tomate kg</v>
      </c>
      <c r="D23" s="107">
        <v>1</v>
      </c>
      <c r="E23" s="120">
        <f>IF($B23="","",IFERROR(INDEX(Productos!$F:$F,MATCH($B23,Productos!$A:$A,0)),0))</f>
        <v>4200</v>
      </c>
      <c r="F23" s="120">
        <f t="shared" si="0"/>
        <v>4200</v>
      </c>
      <c r="G23" s="120">
        <f>IF($B23="","",IFERROR(INDEX(Productos!$E:$E,MATCH($B23,Productos!$A:$A,0)),0))</f>
        <v>2800</v>
      </c>
      <c r="H23" s="120">
        <f t="shared" si="1"/>
        <v>2800</v>
      </c>
      <c r="I23" s="120">
        <f t="shared" si="2"/>
        <v>1400</v>
      </c>
      <c r="J23" s="106" t="s">
        <v>106</v>
      </c>
      <c r="K23" s="106" t="s">
        <v>78</v>
      </c>
      <c r="L23" s="119" t="str">
        <f>IF($B23="","",IFERROR(INDEX(Productos!$C:$C,MATCH($B23,Productos!$A:$A,0)),""))</f>
        <v>Frutas y verduras</v>
      </c>
    </row>
    <row r="24" spans="1:12" ht="15" customHeight="1" x14ac:dyDescent="0.3">
      <c r="A24" s="105">
        <v>46205</v>
      </c>
      <c r="B24" s="106" t="s">
        <v>166</v>
      </c>
      <c r="C24" s="119" t="str">
        <f>IF($B24="","",IFERROR(INDEX(Productos!$B:$B,MATCH($B24,Productos!$A:$A,0)),""))</f>
        <v>Papa kg</v>
      </c>
      <c r="D24" s="107">
        <v>1</v>
      </c>
      <c r="E24" s="120">
        <f>IF($B24="","",IFERROR(INDEX(Productos!$F:$F,MATCH($B24,Productos!$A:$A,0)),0))</f>
        <v>2800</v>
      </c>
      <c r="F24" s="120">
        <f t="shared" si="0"/>
        <v>2800</v>
      </c>
      <c r="G24" s="120">
        <f>IF($B24="","",IFERROR(INDEX(Productos!$E:$E,MATCH($B24,Productos!$A:$A,0)),0))</f>
        <v>1900</v>
      </c>
      <c r="H24" s="120">
        <f t="shared" si="1"/>
        <v>1900</v>
      </c>
      <c r="I24" s="120">
        <f t="shared" si="2"/>
        <v>900</v>
      </c>
      <c r="J24" s="106" t="s">
        <v>108</v>
      </c>
      <c r="K24" s="106" t="s">
        <v>78</v>
      </c>
      <c r="L24" s="119" t="str">
        <f>IF($B24="","",IFERROR(INDEX(Productos!$C:$C,MATCH($B24,Productos!$A:$A,0)),""))</f>
        <v>Frutas y verduras</v>
      </c>
    </row>
    <row r="25" spans="1:12" ht="15" customHeight="1" x14ac:dyDescent="0.3">
      <c r="A25" s="105">
        <v>46205</v>
      </c>
      <c r="B25" s="106" t="s">
        <v>168</v>
      </c>
      <c r="C25" s="119" t="str">
        <f>IF($B25="","",IFERROR(INDEX(Productos!$B:$B,MATCH($B25,Productos!$A:$A,0)),""))</f>
        <v>Banano kg</v>
      </c>
      <c r="D25" s="107">
        <v>1</v>
      </c>
      <c r="E25" s="120">
        <f>IF($B25="","",IFERROR(INDEX(Productos!$F:$F,MATCH($B25,Productos!$A:$A,0)),0))</f>
        <v>3400</v>
      </c>
      <c r="F25" s="120">
        <f t="shared" si="0"/>
        <v>3400</v>
      </c>
      <c r="G25" s="120">
        <f>IF($B25="","",IFERROR(INDEX(Productos!$E:$E,MATCH($B25,Productos!$A:$A,0)),0))</f>
        <v>2200</v>
      </c>
      <c r="H25" s="120">
        <f t="shared" si="1"/>
        <v>2200</v>
      </c>
      <c r="I25" s="120">
        <f t="shared" si="2"/>
        <v>1200</v>
      </c>
      <c r="J25" s="106" t="s">
        <v>108</v>
      </c>
      <c r="K25" s="106" t="s">
        <v>79</v>
      </c>
      <c r="L25" s="119" t="str">
        <f>IF($B25="","",IFERROR(INDEX(Productos!$C:$C,MATCH($B25,Productos!$A:$A,0)),""))</f>
        <v>Frutas y verduras</v>
      </c>
    </row>
    <row r="26" spans="1:12" ht="15" customHeight="1" x14ac:dyDescent="0.3">
      <c r="A26" s="105">
        <v>46206</v>
      </c>
      <c r="B26" s="106" t="s">
        <v>126</v>
      </c>
      <c r="C26" s="119" t="str">
        <f>IF($B26="","",IFERROR(INDEX(Productos!$B:$B,MATCH($B26,Productos!$A:$A,0)),""))</f>
        <v>Panela x 500 g</v>
      </c>
      <c r="D26" s="107">
        <v>3</v>
      </c>
      <c r="E26" s="120">
        <f>IF($B26="","",IFERROR(INDEX(Productos!$F:$F,MATCH($B26,Productos!$A:$A,0)),0))</f>
        <v>2900</v>
      </c>
      <c r="F26" s="120">
        <f t="shared" si="0"/>
        <v>8700</v>
      </c>
      <c r="G26" s="120">
        <f>IF($B26="","",IFERROR(INDEX(Productos!$E:$E,MATCH($B26,Productos!$A:$A,0)),0))</f>
        <v>2100</v>
      </c>
      <c r="H26" s="120">
        <f t="shared" si="1"/>
        <v>6300</v>
      </c>
      <c r="I26" s="120">
        <f t="shared" si="2"/>
        <v>2400</v>
      </c>
      <c r="J26" s="106" t="s">
        <v>102</v>
      </c>
      <c r="K26" s="106" t="s">
        <v>79</v>
      </c>
      <c r="L26" s="119" t="str">
        <f>IF($B26="","",IFERROR(INDEX(Productos!$C:$C,MATCH($B26,Productos!$A:$A,0)),""))</f>
        <v>Granos y abarrotes</v>
      </c>
    </row>
    <row r="27" spans="1:12" ht="15" customHeight="1" x14ac:dyDescent="0.3">
      <c r="A27" s="105">
        <v>46206</v>
      </c>
      <c r="B27" s="106" t="s">
        <v>129</v>
      </c>
      <c r="C27" s="119" t="str">
        <f>IF($B27="","",IFERROR(INDEX(Productos!$B:$B,MATCH($B27,Productos!$A:$A,0)),""))</f>
        <v>Leche entera 1 L</v>
      </c>
      <c r="D27" s="107">
        <v>1</v>
      </c>
      <c r="E27" s="120">
        <f>IF($B27="","",IFERROR(INDEX(Productos!$F:$F,MATCH($B27,Productos!$A:$A,0)),0))</f>
        <v>3900</v>
      </c>
      <c r="F27" s="120">
        <f t="shared" si="0"/>
        <v>3900</v>
      </c>
      <c r="G27" s="120">
        <f>IF($B27="","",IFERROR(INDEX(Productos!$E:$E,MATCH($B27,Productos!$A:$A,0)),0))</f>
        <v>3100</v>
      </c>
      <c r="H27" s="120">
        <f t="shared" si="1"/>
        <v>3100</v>
      </c>
      <c r="I27" s="120">
        <f t="shared" si="2"/>
        <v>800</v>
      </c>
      <c r="J27" s="106" t="s">
        <v>104</v>
      </c>
      <c r="K27" s="106" t="s">
        <v>78</v>
      </c>
      <c r="L27" s="119" t="str">
        <f>IF($B27="","",IFERROR(INDEX(Productos!$C:$C,MATCH($B27,Productos!$A:$A,0)),""))</f>
        <v>Lácteos</v>
      </c>
    </row>
    <row r="28" spans="1:12" ht="15" customHeight="1" x14ac:dyDescent="0.3">
      <c r="A28" s="105">
        <v>46206</v>
      </c>
      <c r="B28" s="106" t="s">
        <v>134</v>
      </c>
      <c r="C28" s="119" t="str">
        <f>IF($B28="","",IFERROR(INDEX(Productos!$B:$B,MATCH($B28,Productos!$A:$A,0)),""))</f>
        <v>Yogur 1 L</v>
      </c>
      <c r="D28" s="107">
        <v>1</v>
      </c>
      <c r="E28" s="120">
        <f>IF($B28="","",IFERROR(INDEX(Productos!$F:$F,MATCH($B28,Productos!$A:$A,0)),0))</f>
        <v>7200</v>
      </c>
      <c r="F28" s="120">
        <f t="shared" si="0"/>
        <v>7200</v>
      </c>
      <c r="G28" s="120">
        <f>IF($B28="","",IFERROR(INDEX(Productos!$E:$E,MATCH($B28,Productos!$A:$A,0)),0))</f>
        <v>5400</v>
      </c>
      <c r="H28" s="120">
        <f t="shared" si="1"/>
        <v>5400</v>
      </c>
      <c r="I28" s="120">
        <f t="shared" si="2"/>
        <v>1800</v>
      </c>
      <c r="J28" s="106" t="s">
        <v>102</v>
      </c>
      <c r="K28" s="106" t="s">
        <v>78</v>
      </c>
      <c r="L28" s="119" t="str">
        <f>IF($B28="","",IFERROR(INDEX(Productos!$C:$C,MATCH($B28,Productos!$A:$A,0)),""))</f>
        <v>Lácteos</v>
      </c>
    </row>
    <row r="29" spans="1:12" ht="15" customHeight="1" x14ac:dyDescent="0.3">
      <c r="A29" s="105">
        <v>46206</v>
      </c>
      <c r="B29" s="106" t="s">
        <v>139</v>
      </c>
      <c r="C29" s="119" t="str">
        <f>IF($B29="","",IFERROR(INDEX(Productos!$B:$B,MATCH($B29,Productos!$A:$A,0)),""))</f>
        <v>Agua 600 ml</v>
      </c>
      <c r="D29" s="107">
        <v>2</v>
      </c>
      <c r="E29" s="120">
        <f>IF($B29="","",IFERROR(INDEX(Productos!$F:$F,MATCH($B29,Productos!$A:$A,0)),0))</f>
        <v>1800</v>
      </c>
      <c r="F29" s="120">
        <f t="shared" si="0"/>
        <v>3600</v>
      </c>
      <c r="G29" s="120">
        <f>IF($B29="","",IFERROR(INDEX(Productos!$E:$E,MATCH($B29,Productos!$A:$A,0)),0))</f>
        <v>1200</v>
      </c>
      <c r="H29" s="120">
        <f t="shared" si="1"/>
        <v>2400</v>
      </c>
      <c r="I29" s="120">
        <f t="shared" si="2"/>
        <v>1200</v>
      </c>
      <c r="J29" s="106" t="s">
        <v>106</v>
      </c>
      <c r="K29" s="106" t="s">
        <v>78</v>
      </c>
      <c r="L29" s="119" t="str">
        <f>IF($B29="","",IFERROR(INDEX(Productos!$C:$C,MATCH($B29,Productos!$A:$A,0)),""))</f>
        <v>Bebidas</v>
      </c>
    </row>
    <row r="30" spans="1:12" ht="15" customHeight="1" x14ac:dyDescent="0.3">
      <c r="A30" s="105">
        <v>46206</v>
      </c>
      <c r="B30" s="106" t="s">
        <v>143</v>
      </c>
      <c r="C30" s="119" t="str">
        <f>IF($B30="","",IFERROR(INDEX(Productos!$B:$B,MATCH($B30,Productos!$A:$A,0)),""))</f>
        <v>Pan tajado 500 g</v>
      </c>
      <c r="D30" s="107">
        <v>2</v>
      </c>
      <c r="E30" s="120">
        <f>IF($B30="","",IFERROR(INDEX(Productos!$F:$F,MATCH($B30,Productos!$A:$A,0)),0))</f>
        <v>5200</v>
      </c>
      <c r="F30" s="120">
        <f t="shared" si="0"/>
        <v>10400</v>
      </c>
      <c r="G30" s="120">
        <f>IF($B30="","",IFERROR(INDEX(Productos!$E:$E,MATCH($B30,Productos!$A:$A,0)),0))</f>
        <v>3900</v>
      </c>
      <c r="H30" s="120">
        <f t="shared" si="1"/>
        <v>7800</v>
      </c>
      <c r="I30" s="120">
        <f t="shared" si="2"/>
        <v>2600</v>
      </c>
      <c r="J30" s="106" t="s">
        <v>104</v>
      </c>
      <c r="K30" s="106" t="s">
        <v>79</v>
      </c>
      <c r="L30" s="119" t="str">
        <f>IF($B30="","",IFERROR(INDEX(Productos!$C:$C,MATCH($B30,Productos!$A:$A,0)),""))</f>
        <v>Panadería</v>
      </c>
    </row>
    <row r="31" spans="1:12" ht="15" customHeight="1" x14ac:dyDescent="0.3">
      <c r="A31" s="105">
        <v>46206</v>
      </c>
      <c r="B31" s="106" t="s">
        <v>149</v>
      </c>
      <c r="C31" s="119" t="str">
        <f>IF($B31="","",IFERROR(INDEX(Productos!$B:$B,MATCH($B31,Productos!$A:$A,0)),""))</f>
        <v>Papas fritas 105 g</v>
      </c>
      <c r="D31" s="107">
        <v>3</v>
      </c>
      <c r="E31" s="120">
        <f>IF($B31="","",IFERROR(INDEX(Productos!$F:$F,MATCH($B31,Productos!$A:$A,0)),0))</f>
        <v>4800</v>
      </c>
      <c r="F31" s="120">
        <f t="shared" si="0"/>
        <v>14400</v>
      </c>
      <c r="G31" s="120">
        <f>IF($B31="","",IFERROR(INDEX(Productos!$E:$E,MATCH($B31,Productos!$A:$A,0)),0))</f>
        <v>3200</v>
      </c>
      <c r="H31" s="120">
        <f t="shared" si="1"/>
        <v>9600</v>
      </c>
      <c r="I31" s="120">
        <f t="shared" si="2"/>
        <v>4800</v>
      </c>
      <c r="J31" s="106" t="s">
        <v>104</v>
      </c>
      <c r="K31" s="106" t="s">
        <v>78</v>
      </c>
      <c r="L31" s="119" t="str">
        <f>IF($B31="","",IFERROR(INDEX(Productos!$C:$C,MATCH($B31,Productos!$A:$A,0)),""))</f>
        <v>Snacks</v>
      </c>
    </row>
    <row r="32" spans="1:12" ht="15" customHeight="1" x14ac:dyDescent="0.3">
      <c r="A32" s="105">
        <v>46206</v>
      </c>
      <c r="B32" s="106" t="s">
        <v>158</v>
      </c>
      <c r="C32" s="119" t="str">
        <f>IF($B32="","",IFERROR(INDEX(Productos!$B:$B,MATCH($B32,Productos!$A:$A,0)),""))</f>
        <v>Huevos AA x 12</v>
      </c>
      <c r="D32" s="107">
        <v>3</v>
      </c>
      <c r="E32" s="120">
        <f>IF($B32="","",IFERROR(INDEX(Productos!$F:$F,MATCH($B32,Productos!$A:$A,0)),0))</f>
        <v>12000</v>
      </c>
      <c r="F32" s="120">
        <f t="shared" si="0"/>
        <v>36000</v>
      </c>
      <c r="G32" s="120">
        <f>IF($B32="","",IFERROR(INDEX(Productos!$E:$E,MATCH($B32,Productos!$A:$A,0)),0))</f>
        <v>9200</v>
      </c>
      <c r="H32" s="120">
        <f t="shared" si="1"/>
        <v>27600</v>
      </c>
      <c r="I32" s="120">
        <f t="shared" si="2"/>
        <v>8400</v>
      </c>
      <c r="J32" s="106" t="s">
        <v>106</v>
      </c>
      <c r="K32" s="106" t="s">
        <v>81</v>
      </c>
      <c r="L32" s="119" t="str">
        <f>IF($B32="","",IFERROR(INDEX(Productos!$C:$C,MATCH($B32,Productos!$A:$A,0)),""))</f>
        <v>Perecederos</v>
      </c>
    </row>
    <row r="33" spans="1:12" ht="15" customHeight="1" x14ac:dyDescent="0.3">
      <c r="A33" s="105">
        <v>46206</v>
      </c>
      <c r="B33" s="106" t="s">
        <v>166</v>
      </c>
      <c r="C33" s="119" t="str">
        <f>IF($B33="","",IFERROR(INDEX(Productos!$B:$B,MATCH($B33,Productos!$A:$A,0)),""))</f>
        <v>Papa kg</v>
      </c>
      <c r="D33" s="107">
        <v>2</v>
      </c>
      <c r="E33" s="120">
        <f>IF($B33="","",IFERROR(INDEX(Productos!$F:$F,MATCH($B33,Productos!$A:$A,0)),0))</f>
        <v>2800</v>
      </c>
      <c r="F33" s="120">
        <f t="shared" si="0"/>
        <v>5600</v>
      </c>
      <c r="G33" s="120">
        <f>IF($B33="","",IFERROR(INDEX(Productos!$E:$E,MATCH($B33,Productos!$A:$A,0)),0))</f>
        <v>1900</v>
      </c>
      <c r="H33" s="120">
        <f t="shared" si="1"/>
        <v>3800</v>
      </c>
      <c r="I33" s="120">
        <f t="shared" si="2"/>
        <v>1800</v>
      </c>
      <c r="J33" s="106" t="s">
        <v>106</v>
      </c>
      <c r="K33" s="106" t="s">
        <v>79</v>
      </c>
      <c r="L33" s="119" t="str">
        <f>IF($B33="","",IFERROR(INDEX(Productos!$C:$C,MATCH($B33,Productos!$A:$A,0)),""))</f>
        <v>Frutas y verduras</v>
      </c>
    </row>
    <row r="34" spans="1:12" ht="15" customHeight="1" x14ac:dyDescent="0.3">
      <c r="A34" s="105">
        <v>46206</v>
      </c>
      <c r="B34" s="106" t="s">
        <v>168</v>
      </c>
      <c r="C34" s="119" t="str">
        <f>IF($B34="","",IFERROR(INDEX(Productos!$B:$B,MATCH($B34,Productos!$A:$A,0)),""))</f>
        <v>Banano kg</v>
      </c>
      <c r="D34" s="107">
        <v>1</v>
      </c>
      <c r="E34" s="120">
        <f>IF($B34="","",IFERROR(INDEX(Productos!$F:$F,MATCH($B34,Productos!$A:$A,0)),0))</f>
        <v>3400</v>
      </c>
      <c r="F34" s="120">
        <f t="shared" si="0"/>
        <v>3400</v>
      </c>
      <c r="G34" s="120">
        <f>IF($B34="","",IFERROR(INDEX(Productos!$E:$E,MATCH($B34,Productos!$A:$A,0)),0))</f>
        <v>2200</v>
      </c>
      <c r="H34" s="120">
        <f t="shared" si="1"/>
        <v>2200</v>
      </c>
      <c r="I34" s="120">
        <f t="shared" si="2"/>
        <v>1200</v>
      </c>
      <c r="J34" s="106" t="s">
        <v>108</v>
      </c>
      <c r="K34" s="106" t="s">
        <v>78</v>
      </c>
      <c r="L34" s="119" t="str">
        <f>IF($B34="","",IFERROR(INDEX(Productos!$C:$C,MATCH($B34,Productos!$A:$A,0)),""))</f>
        <v>Frutas y verduras</v>
      </c>
    </row>
    <row r="35" spans="1:12" ht="15" customHeight="1" x14ac:dyDescent="0.3">
      <c r="A35" s="105">
        <v>46207</v>
      </c>
      <c r="B35" s="106" t="s">
        <v>121</v>
      </c>
      <c r="C35" s="119" t="str">
        <f>IF($B35="","",IFERROR(INDEX(Productos!$B:$B,MATCH($B35,Productos!$A:$A,0)),""))</f>
        <v>Arroz x 500 g</v>
      </c>
      <c r="D35" s="107">
        <v>2</v>
      </c>
      <c r="E35" s="120">
        <f>IF($B35="","",IFERROR(INDEX(Productos!$F:$F,MATCH($B35,Productos!$A:$A,0)),0))</f>
        <v>2600</v>
      </c>
      <c r="F35" s="120">
        <f t="shared" si="0"/>
        <v>5200</v>
      </c>
      <c r="G35" s="120">
        <f>IF($B35="","",IFERROR(INDEX(Productos!$E:$E,MATCH($B35,Productos!$A:$A,0)),0))</f>
        <v>1850</v>
      </c>
      <c r="H35" s="120">
        <f t="shared" si="1"/>
        <v>3700</v>
      </c>
      <c r="I35" s="120">
        <f t="shared" si="2"/>
        <v>1500</v>
      </c>
      <c r="J35" s="106" t="s">
        <v>106</v>
      </c>
      <c r="K35" s="106" t="s">
        <v>78</v>
      </c>
      <c r="L35" s="119" t="str">
        <f>IF($B35="","",IFERROR(INDEX(Productos!$C:$C,MATCH($B35,Productos!$A:$A,0)),""))</f>
        <v>Granos y abarrotes</v>
      </c>
    </row>
    <row r="36" spans="1:12" ht="15" customHeight="1" x14ac:dyDescent="0.3">
      <c r="A36" s="105">
        <v>46207</v>
      </c>
      <c r="B36" s="106" t="s">
        <v>124</v>
      </c>
      <c r="C36" s="119" t="str">
        <f>IF($B36="","",IFERROR(INDEX(Productos!$B:$B,MATCH($B36,Productos!$A:$A,0)),""))</f>
        <v>Aceite girasol 1 L</v>
      </c>
      <c r="D36" s="107">
        <v>2</v>
      </c>
      <c r="E36" s="120">
        <f>IF($B36="","",IFERROR(INDEX(Productos!$F:$F,MATCH($B36,Productos!$A:$A,0)),0))</f>
        <v>9500</v>
      </c>
      <c r="F36" s="120">
        <f t="shared" si="0"/>
        <v>19000</v>
      </c>
      <c r="G36" s="120">
        <f>IF($B36="","",IFERROR(INDEX(Productos!$E:$E,MATCH($B36,Productos!$A:$A,0)),0))</f>
        <v>7200</v>
      </c>
      <c r="H36" s="120">
        <f t="shared" si="1"/>
        <v>14400</v>
      </c>
      <c r="I36" s="120">
        <f t="shared" si="2"/>
        <v>4600</v>
      </c>
      <c r="J36" s="106" t="s">
        <v>102</v>
      </c>
      <c r="K36" s="106" t="s">
        <v>78</v>
      </c>
      <c r="L36" s="119" t="str">
        <f>IF($B36="","",IFERROR(INDEX(Productos!$C:$C,MATCH($B36,Productos!$A:$A,0)),""))</f>
        <v>Granos y abarrotes</v>
      </c>
    </row>
    <row r="37" spans="1:12" ht="15" customHeight="1" x14ac:dyDescent="0.3">
      <c r="A37" s="105">
        <v>46207</v>
      </c>
      <c r="B37" s="106" t="s">
        <v>129</v>
      </c>
      <c r="C37" s="119" t="str">
        <f>IF($B37="","",IFERROR(INDEX(Productos!$B:$B,MATCH($B37,Productos!$A:$A,0)),""))</f>
        <v>Leche entera 1 L</v>
      </c>
      <c r="D37" s="107">
        <v>3</v>
      </c>
      <c r="E37" s="120">
        <f>IF($B37="","",IFERROR(INDEX(Productos!$F:$F,MATCH($B37,Productos!$A:$A,0)),0))</f>
        <v>3900</v>
      </c>
      <c r="F37" s="120">
        <f t="shared" si="0"/>
        <v>11700</v>
      </c>
      <c r="G37" s="120">
        <f>IF($B37="","",IFERROR(INDEX(Productos!$E:$E,MATCH($B37,Productos!$A:$A,0)),0))</f>
        <v>3100</v>
      </c>
      <c r="H37" s="120">
        <f t="shared" si="1"/>
        <v>9300</v>
      </c>
      <c r="I37" s="120">
        <f t="shared" si="2"/>
        <v>2400</v>
      </c>
      <c r="J37" s="106" t="s">
        <v>106</v>
      </c>
      <c r="K37" s="106" t="s">
        <v>79</v>
      </c>
      <c r="L37" s="119" t="str">
        <f>IF($B37="","",IFERROR(INDEX(Productos!$C:$C,MATCH($B37,Productos!$A:$A,0)),""))</f>
        <v>Lácteos</v>
      </c>
    </row>
    <row r="38" spans="1:12" ht="15" customHeight="1" x14ac:dyDescent="0.3">
      <c r="A38" s="105">
        <v>46207</v>
      </c>
      <c r="B38" s="106" t="s">
        <v>134</v>
      </c>
      <c r="C38" s="119" t="str">
        <f>IF($B38="","",IFERROR(INDEX(Productos!$B:$B,MATCH($B38,Productos!$A:$A,0)),""))</f>
        <v>Yogur 1 L</v>
      </c>
      <c r="D38" s="107">
        <v>1</v>
      </c>
      <c r="E38" s="120">
        <f>IF($B38="","",IFERROR(INDEX(Productos!$F:$F,MATCH($B38,Productos!$A:$A,0)),0))</f>
        <v>7200</v>
      </c>
      <c r="F38" s="120">
        <f t="shared" si="0"/>
        <v>7200</v>
      </c>
      <c r="G38" s="120">
        <f>IF($B38="","",IFERROR(INDEX(Productos!$E:$E,MATCH($B38,Productos!$A:$A,0)),0))</f>
        <v>5400</v>
      </c>
      <c r="H38" s="120">
        <f t="shared" si="1"/>
        <v>5400</v>
      </c>
      <c r="I38" s="120">
        <f t="shared" si="2"/>
        <v>1800</v>
      </c>
      <c r="J38" s="106" t="s">
        <v>106</v>
      </c>
      <c r="K38" s="106" t="s">
        <v>79</v>
      </c>
      <c r="L38" s="119" t="str">
        <f>IF($B38="","",IFERROR(INDEX(Productos!$C:$C,MATCH($B38,Productos!$A:$A,0)),""))</f>
        <v>Lácteos</v>
      </c>
    </row>
    <row r="39" spans="1:12" ht="15" customHeight="1" x14ac:dyDescent="0.3">
      <c r="A39" s="105">
        <v>46207</v>
      </c>
      <c r="B39" s="106" t="s">
        <v>136</v>
      </c>
      <c r="C39" s="119" t="str">
        <f>IF($B39="","",IFERROR(INDEX(Productos!$B:$B,MATCH($B39,Productos!$A:$A,0)),""))</f>
        <v>Gaseosa 1,5 L</v>
      </c>
      <c r="D39" s="107">
        <v>3</v>
      </c>
      <c r="E39" s="120">
        <f>IF($B39="","",IFERROR(INDEX(Productos!$F:$F,MATCH($B39,Productos!$A:$A,0)),0))</f>
        <v>4500</v>
      </c>
      <c r="F39" s="120">
        <f t="shared" si="0"/>
        <v>13500</v>
      </c>
      <c r="G39" s="120">
        <f>IF($B39="","",IFERROR(INDEX(Productos!$E:$E,MATCH($B39,Productos!$A:$A,0)),0))</f>
        <v>3400</v>
      </c>
      <c r="H39" s="120">
        <f t="shared" si="1"/>
        <v>10200</v>
      </c>
      <c r="I39" s="120">
        <f t="shared" si="2"/>
        <v>3300</v>
      </c>
      <c r="J39" s="106" t="s">
        <v>104</v>
      </c>
      <c r="K39" s="106" t="s">
        <v>78</v>
      </c>
      <c r="L39" s="119" t="str">
        <f>IF($B39="","",IFERROR(INDEX(Productos!$C:$C,MATCH($B39,Productos!$A:$A,0)),""))</f>
        <v>Bebidas</v>
      </c>
    </row>
    <row r="40" spans="1:12" ht="15" customHeight="1" x14ac:dyDescent="0.3">
      <c r="A40" s="105">
        <v>46207</v>
      </c>
      <c r="B40" s="106" t="s">
        <v>139</v>
      </c>
      <c r="C40" s="119" t="str">
        <f>IF($B40="","",IFERROR(INDEX(Productos!$B:$B,MATCH($B40,Productos!$A:$A,0)),""))</f>
        <v>Agua 600 ml</v>
      </c>
      <c r="D40" s="107">
        <v>1</v>
      </c>
      <c r="E40" s="120">
        <f>IF($B40="","",IFERROR(INDEX(Productos!$F:$F,MATCH($B40,Productos!$A:$A,0)),0))</f>
        <v>1800</v>
      </c>
      <c r="F40" s="120">
        <f t="shared" si="0"/>
        <v>1800</v>
      </c>
      <c r="G40" s="120">
        <f>IF($B40="","",IFERROR(INDEX(Productos!$E:$E,MATCH($B40,Productos!$A:$A,0)),0))</f>
        <v>1200</v>
      </c>
      <c r="H40" s="120">
        <f t="shared" si="1"/>
        <v>1200</v>
      </c>
      <c r="I40" s="120">
        <f t="shared" si="2"/>
        <v>600</v>
      </c>
      <c r="J40" s="106" t="s">
        <v>104</v>
      </c>
      <c r="K40" s="106" t="s">
        <v>79</v>
      </c>
      <c r="L40" s="119" t="str">
        <f>IF($B40="","",IFERROR(INDEX(Productos!$C:$C,MATCH($B40,Productos!$A:$A,0)),""))</f>
        <v>Bebidas</v>
      </c>
    </row>
    <row r="41" spans="1:12" ht="15" customHeight="1" x14ac:dyDescent="0.3">
      <c r="A41" s="105">
        <v>46207</v>
      </c>
      <c r="B41" s="106" t="s">
        <v>141</v>
      </c>
      <c r="C41" s="119" t="str">
        <f>IF($B41="","",IFERROR(INDEX(Productos!$B:$B,MATCH($B41,Productos!$A:$A,0)),""))</f>
        <v>Cerveza lata 330 ml</v>
      </c>
      <c r="D41" s="107">
        <v>1</v>
      </c>
      <c r="E41" s="120">
        <f>IF($B41="","",IFERROR(INDEX(Productos!$F:$F,MATCH($B41,Productos!$A:$A,0)),0))</f>
        <v>3800</v>
      </c>
      <c r="F41" s="120">
        <f t="shared" si="0"/>
        <v>3800</v>
      </c>
      <c r="G41" s="120">
        <f>IF($B41="","",IFERROR(INDEX(Productos!$E:$E,MATCH($B41,Productos!$A:$A,0)),0))</f>
        <v>2600</v>
      </c>
      <c r="H41" s="120">
        <f t="shared" si="1"/>
        <v>2600</v>
      </c>
      <c r="I41" s="120">
        <f t="shared" si="2"/>
        <v>1200</v>
      </c>
      <c r="J41" s="106" t="s">
        <v>106</v>
      </c>
      <c r="K41" s="106" t="s">
        <v>78</v>
      </c>
      <c r="L41" s="119" t="str">
        <f>IF($B41="","",IFERROR(INDEX(Productos!$C:$C,MATCH($B41,Productos!$A:$A,0)),""))</f>
        <v>Bebidas</v>
      </c>
    </row>
    <row r="42" spans="1:12" ht="15" customHeight="1" x14ac:dyDescent="0.3">
      <c r="A42" s="105">
        <v>46207</v>
      </c>
      <c r="B42" s="106" t="s">
        <v>143</v>
      </c>
      <c r="C42" s="119" t="str">
        <f>IF($B42="","",IFERROR(INDEX(Productos!$B:$B,MATCH($B42,Productos!$A:$A,0)),""))</f>
        <v>Pan tajado 500 g</v>
      </c>
      <c r="D42" s="107">
        <v>2</v>
      </c>
      <c r="E42" s="120">
        <f>IF($B42="","",IFERROR(INDEX(Productos!$F:$F,MATCH($B42,Productos!$A:$A,0)),0))</f>
        <v>5200</v>
      </c>
      <c r="F42" s="120">
        <f t="shared" si="0"/>
        <v>10400</v>
      </c>
      <c r="G42" s="120">
        <f>IF($B42="","",IFERROR(INDEX(Productos!$E:$E,MATCH($B42,Productos!$A:$A,0)),0))</f>
        <v>3900</v>
      </c>
      <c r="H42" s="120">
        <f t="shared" si="1"/>
        <v>7800</v>
      </c>
      <c r="I42" s="120">
        <f t="shared" si="2"/>
        <v>2600</v>
      </c>
      <c r="J42" s="106" t="s">
        <v>108</v>
      </c>
      <c r="K42" s="106" t="s">
        <v>78</v>
      </c>
      <c r="L42" s="119" t="str">
        <f>IF($B42="","",IFERROR(INDEX(Productos!$C:$C,MATCH($B42,Productos!$A:$A,0)),""))</f>
        <v>Panadería</v>
      </c>
    </row>
    <row r="43" spans="1:12" ht="15" customHeight="1" x14ac:dyDescent="0.3">
      <c r="A43" s="105">
        <v>46207</v>
      </c>
      <c r="B43" s="106" t="s">
        <v>146</v>
      </c>
      <c r="C43" s="119" t="str">
        <f>IF($B43="","",IFERROR(INDEX(Productos!$B:$B,MATCH($B43,Productos!$A:$A,0)),""))</f>
        <v>Galletas surtidas</v>
      </c>
      <c r="D43" s="107">
        <v>1</v>
      </c>
      <c r="E43" s="120">
        <f>IF($B43="","",IFERROR(INDEX(Productos!$F:$F,MATCH($B43,Productos!$A:$A,0)),0))</f>
        <v>2700</v>
      </c>
      <c r="F43" s="120">
        <f t="shared" si="0"/>
        <v>2700</v>
      </c>
      <c r="G43" s="120">
        <f>IF($B43="","",IFERROR(INDEX(Productos!$E:$E,MATCH($B43,Productos!$A:$A,0)),0))</f>
        <v>1800</v>
      </c>
      <c r="H43" s="120">
        <f t="shared" si="1"/>
        <v>1800</v>
      </c>
      <c r="I43" s="120">
        <f t="shared" si="2"/>
        <v>900</v>
      </c>
      <c r="J43" s="106" t="s">
        <v>104</v>
      </c>
      <c r="K43" s="106" t="s">
        <v>81</v>
      </c>
      <c r="L43" s="119" t="str">
        <f>IF($B43="","",IFERROR(INDEX(Productos!$C:$C,MATCH($B43,Productos!$A:$A,0)),""))</f>
        <v>Snacks</v>
      </c>
    </row>
    <row r="44" spans="1:12" ht="15" customHeight="1" x14ac:dyDescent="0.3">
      <c r="A44" s="105">
        <v>46207</v>
      </c>
      <c r="B44" s="106" t="s">
        <v>151</v>
      </c>
      <c r="C44" s="119" t="str">
        <f>IF($B44="","",IFERROR(INDEX(Productos!$B:$B,MATCH($B44,Productos!$A:$A,0)),""))</f>
        <v>Detergente 1 kg</v>
      </c>
      <c r="D44" s="107">
        <v>1</v>
      </c>
      <c r="E44" s="120">
        <f>IF($B44="","",IFERROR(INDEX(Productos!$F:$F,MATCH($B44,Productos!$A:$A,0)),0))</f>
        <v>9200</v>
      </c>
      <c r="F44" s="120">
        <f t="shared" si="0"/>
        <v>9200</v>
      </c>
      <c r="G44" s="120">
        <f>IF($B44="","",IFERROR(INDEX(Productos!$E:$E,MATCH($B44,Productos!$A:$A,0)),0))</f>
        <v>6800</v>
      </c>
      <c r="H44" s="120">
        <f t="shared" si="1"/>
        <v>6800</v>
      </c>
      <c r="I44" s="120">
        <f t="shared" si="2"/>
        <v>2400</v>
      </c>
      <c r="J44" s="106" t="s">
        <v>102</v>
      </c>
      <c r="K44" s="106" t="s">
        <v>80</v>
      </c>
      <c r="L44" s="119" t="str">
        <f>IF($B44="","",IFERROR(INDEX(Productos!$C:$C,MATCH($B44,Productos!$A:$A,0)),""))</f>
        <v>Aseo hogar</v>
      </c>
    </row>
    <row r="45" spans="1:12" ht="15" customHeight="1" x14ac:dyDescent="0.3">
      <c r="A45" s="105">
        <v>46207</v>
      </c>
      <c r="B45" s="106" t="s">
        <v>154</v>
      </c>
      <c r="C45" s="119" t="str">
        <f>IF($B45="","",IFERROR(INDEX(Productos!$B:$B,MATCH($B45,Productos!$A:$A,0)),""))</f>
        <v>Jabón de barra</v>
      </c>
      <c r="D45" s="107">
        <v>3</v>
      </c>
      <c r="E45" s="120">
        <f>IF($B45="","",IFERROR(INDEX(Productos!$F:$F,MATCH($B45,Productos!$A:$A,0)),0))</f>
        <v>2800</v>
      </c>
      <c r="F45" s="120">
        <f t="shared" si="0"/>
        <v>8400</v>
      </c>
      <c r="G45" s="120">
        <f>IF($B45="","",IFERROR(INDEX(Productos!$E:$E,MATCH($B45,Productos!$A:$A,0)),0))</f>
        <v>1900</v>
      </c>
      <c r="H45" s="120">
        <f t="shared" si="1"/>
        <v>5700</v>
      </c>
      <c r="I45" s="120">
        <f t="shared" si="2"/>
        <v>2700</v>
      </c>
      <c r="J45" s="106" t="s">
        <v>106</v>
      </c>
      <c r="K45" s="106" t="s">
        <v>80</v>
      </c>
      <c r="L45" s="119" t="str">
        <f>IF($B45="","",IFERROR(INDEX(Productos!$C:$C,MATCH($B45,Productos!$A:$A,0)),""))</f>
        <v>Aseo personal</v>
      </c>
    </row>
    <row r="46" spans="1:12" ht="15" customHeight="1" x14ac:dyDescent="0.3">
      <c r="A46" s="105">
        <v>46207</v>
      </c>
      <c r="B46" s="106" t="s">
        <v>158</v>
      </c>
      <c r="C46" s="119" t="str">
        <f>IF($B46="","",IFERROR(INDEX(Productos!$B:$B,MATCH($B46,Productos!$A:$A,0)),""))</f>
        <v>Huevos AA x 12</v>
      </c>
      <c r="D46" s="107">
        <v>3</v>
      </c>
      <c r="E46" s="120">
        <f>IF($B46="","",IFERROR(INDEX(Productos!$F:$F,MATCH($B46,Productos!$A:$A,0)),0))</f>
        <v>12000</v>
      </c>
      <c r="F46" s="120">
        <f t="shared" si="0"/>
        <v>36000</v>
      </c>
      <c r="G46" s="120">
        <f>IF($B46="","",IFERROR(INDEX(Productos!$E:$E,MATCH($B46,Productos!$A:$A,0)),0))</f>
        <v>9200</v>
      </c>
      <c r="H46" s="120">
        <f t="shared" si="1"/>
        <v>27600</v>
      </c>
      <c r="I46" s="120">
        <f t="shared" si="2"/>
        <v>8400</v>
      </c>
      <c r="J46" s="106" t="s">
        <v>104</v>
      </c>
      <c r="K46" s="106" t="s">
        <v>79</v>
      </c>
      <c r="L46" s="119" t="str">
        <f>IF($B46="","",IFERROR(INDEX(Productos!$C:$C,MATCH($B46,Productos!$A:$A,0)),""))</f>
        <v>Perecederos</v>
      </c>
    </row>
    <row r="47" spans="1:12" ht="15" customHeight="1" x14ac:dyDescent="0.3">
      <c r="A47" s="105">
        <v>46207</v>
      </c>
      <c r="B47" s="106" t="s">
        <v>161</v>
      </c>
      <c r="C47" s="119" t="str">
        <f>IF($B47="","",IFERROR(INDEX(Productos!$B:$B,MATCH($B47,Productos!$A:$A,0)),""))</f>
        <v>Pollo entero kg</v>
      </c>
      <c r="D47" s="107">
        <v>2</v>
      </c>
      <c r="E47" s="120">
        <f>IF($B47="","",IFERROR(INDEX(Productos!$F:$F,MATCH($B47,Productos!$A:$A,0)),0))</f>
        <v>14800</v>
      </c>
      <c r="F47" s="120">
        <f t="shared" si="0"/>
        <v>29600</v>
      </c>
      <c r="G47" s="120">
        <f>IF($B47="","",IFERROR(INDEX(Productos!$E:$E,MATCH($B47,Productos!$A:$A,0)),0))</f>
        <v>11500</v>
      </c>
      <c r="H47" s="120">
        <f t="shared" si="1"/>
        <v>23000</v>
      </c>
      <c r="I47" s="120">
        <f t="shared" si="2"/>
        <v>6600</v>
      </c>
      <c r="J47" s="106" t="s">
        <v>108</v>
      </c>
      <c r="K47" s="106" t="s">
        <v>78</v>
      </c>
      <c r="L47" s="119" t="str">
        <f>IF($B47="","",IFERROR(INDEX(Productos!$C:$C,MATCH($B47,Productos!$A:$A,0)),""))</f>
        <v>Perecederos</v>
      </c>
    </row>
    <row r="48" spans="1:12" ht="15" customHeight="1" x14ac:dyDescent="0.3">
      <c r="A48" s="105">
        <v>46207</v>
      </c>
      <c r="B48" s="106" t="s">
        <v>163</v>
      </c>
      <c r="C48" s="119" t="str">
        <f>IF($B48="","",IFERROR(INDEX(Productos!$B:$B,MATCH($B48,Productos!$A:$A,0)),""))</f>
        <v>Tomate kg</v>
      </c>
      <c r="D48" s="107">
        <v>1</v>
      </c>
      <c r="E48" s="120">
        <f>IF($B48="","",IFERROR(INDEX(Productos!$F:$F,MATCH($B48,Productos!$A:$A,0)),0))</f>
        <v>4200</v>
      </c>
      <c r="F48" s="120">
        <f t="shared" si="0"/>
        <v>4200</v>
      </c>
      <c r="G48" s="120">
        <f>IF($B48="","",IFERROR(INDEX(Productos!$E:$E,MATCH($B48,Productos!$A:$A,0)),0))</f>
        <v>2800</v>
      </c>
      <c r="H48" s="120">
        <f t="shared" si="1"/>
        <v>2800</v>
      </c>
      <c r="I48" s="120">
        <f t="shared" si="2"/>
        <v>1400</v>
      </c>
      <c r="J48" s="106" t="s">
        <v>104</v>
      </c>
      <c r="K48" s="106" t="s">
        <v>79</v>
      </c>
      <c r="L48" s="119" t="str">
        <f>IF($B48="","",IFERROR(INDEX(Productos!$C:$C,MATCH($B48,Productos!$A:$A,0)),""))</f>
        <v>Frutas y verduras</v>
      </c>
    </row>
    <row r="49" spans="1:12" ht="15" customHeight="1" x14ac:dyDescent="0.3">
      <c r="A49" s="105">
        <v>46207</v>
      </c>
      <c r="B49" s="106" t="s">
        <v>166</v>
      </c>
      <c r="C49" s="119" t="str">
        <f>IF($B49="","",IFERROR(INDEX(Productos!$B:$B,MATCH($B49,Productos!$A:$A,0)),""))</f>
        <v>Papa kg</v>
      </c>
      <c r="D49" s="107">
        <v>1</v>
      </c>
      <c r="E49" s="120">
        <f>IF($B49="","",IFERROR(INDEX(Productos!$F:$F,MATCH($B49,Productos!$A:$A,0)),0))</f>
        <v>2800</v>
      </c>
      <c r="F49" s="120">
        <f t="shared" si="0"/>
        <v>2800</v>
      </c>
      <c r="G49" s="120">
        <f>IF($B49="","",IFERROR(INDEX(Productos!$E:$E,MATCH($B49,Productos!$A:$A,0)),0))</f>
        <v>1900</v>
      </c>
      <c r="H49" s="120">
        <f t="shared" si="1"/>
        <v>1900</v>
      </c>
      <c r="I49" s="120">
        <f t="shared" si="2"/>
        <v>900</v>
      </c>
      <c r="J49" s="106" t="s">
        <v>104</v>
      </c>
      <c r="K49" s="106" t="s">
        <v>78</v>
      </c>
      <c r="L49" s="119" t="str">
        <f>IF($B49="","",IFERROR(INDEX(Productos!$C:$C,MATCH($B49,Productos!$A:$A,0)),""))</f>
        <v>Frutas y verduras</v>
      </c>
    </row>
    <row r="50" spans="1:12" ht="15" customHeight="1" x14ac:dyDescent="0.3">
      <c r="A50" s="105">
        <v>46207</v>
      </c>
      <c r="B50" s="106" t="s">
        <v>168</v>
      </c>
      <c r="C50" s="119" t="str">
        <f>IF($B50="","",IFERROR(INDEX(Productos!$B:$B,MATCH($B50,Productos!$A:$A,0)),""))</f>
        <v>Banano kg</v>
      </c>
      <c r="D50" s="107">
        <v>4</v>
      </c>
      <c r="E50" s="120">
        <f>IF($B50="","",IFERROR(INDEX(Productos!$F:$F,MATCH($B50,Productos!$A:$A,0)),0))</f>
        <v>3400</v>
      </c>
      <c r="F50" s="120">
        <f t="shared" si="0"/>
        <v>13600</v>
      </c>
      <c r="G50" s="120">
        <f>IF($B50="","",IFERROR(INDEX(Productos!$E:$E,MATCH($B50,Productos!$A:$A,0)),0))</f>
        <v>2200</v>
      </c>
      <c r="H50" s="120">
        <f t="shared" si="1"/>
        <v>8800</v>
      </c>
      <c r="I50" s="120">
        <f t="shared" si="2"/>
        <v>4800</v>
      </c>
      <c r="J50" s="106" t="s">
        <v>104</v>
      </c>
      <c r="K50" s="106" t="s">
        <v>79</v>
      </c>
      <c r="L50" s="119" t="str">
        <f>IF($B50="","",IFERROR(INDEX(Productos!$C:$C,MATCH($B50,Productos!$A:$A,0)),""))</f>
        <v>Frutas y verduras</v>
      </c>
    </row>
    <row r="51" spans="1:12" ht="15" customHeight="1" x14ac:dyDescent="0.3">
      <c r="A51" s="105">
        <v>46208</v>
      </c>
      <c r="B51" s="106" t="s">
        <v>121</v>
      </c>
      <c r="C51" s="119" t="str">
        <f>IF($B51="","",IFERROR(INDEX(Productos!$B:$B,MATCH($B51,Productos!$A:$A,0)),""))</f>
        <v>Arroz x 500 g</v>
      </c>
      <c r="D51" s="107">
        <v>1</v>
      </c>
      <c r="E51" s="120">
        <f>IF($B51="","",IFERROR(INDEX(Productos!$F:$F,MATCH($B51,Productos!$A:$A,0)),0))</f>
        <v>2600</v>
      </c>
      <c r="F51" s="120">
        <f t="shared" si="0"/>
        <v>2600</v>
      </c>
      <c r="G51" s="120">
        <f>IF($B51="","",IFERROR(INDEX(Productos!$E:$E,MATCH($B51,Productos!$A:$A,0)),0))</f>
        <v>1850</v>
      </c>
      <c r="H51" s="120">
        <f t="shared" si="1"/>
        <v>1850</v>
      </c>
      <c r="I51" s="120">
        <f t="shared" si="2"/>
        <v>750</v>
      </c>
      <c r="J51" s="106" t="s">
        <v>106</v>
      </c>
      <c r="K51" s="106" t="s">
        <v>78</v>
      </c>
      <c r="L51" s="119" t="str">
        <f>IF($B51="","",IFERROR(INDEX(Productos!$C:$C,MATCH($B51,Productos!$A:$A,0)),""))</f>
        <v>Granos y abarrotes</v>
      </c>
    </row>
    <row r="52" spans="1:12" ht="15" customHeight="1" x14ac:dyDescent="0.3">
      <c r="A52" s="105">
        <v>46208</v>
      </c>
      <c r="B52" s="106" t="s">
        <v>129</v>
      </c>
      <c r="C52" s="119" t="str">
        <f>IF($B52="","",IFERROR(INDEX(Productos!$B:$B,MATCH($B52,Productos!$A:$A,0)),""))</f>
        <v>Leche entera 1 L</v>
      </c>
      <c r="D52" s="107">
        <v>2</v>
      </c>
      <c r="E52" s="120">
        <f>IF($B52="","",IFERROR(INDEX(Productos!$F:$F,MATCH($B52,Productos!$A:$A,0)),0))</f>
        <v>3900</v>
      </c>
      <c r="F52" s="120">
        <f t="shared" si="0"/>
        <v>7800</v>
      </c>
      <c r="G52" s="120">
        <f>IF($B52="","",IFERROR(INDEX(Productos!$E:$E,MATCH($B52,Productos!$A:$A,0)),0))</f>
        <v>3100</v>
      </c>
      <c r="H52" s="120">
        <f t="shared" si="1"/>
        <v>6200</v>
      </c>
      <c r="I52" s="120">
        <f t="shared" si="2"/>
        <v>1600</v>
      </c>
      <c r="J52" s="106" t="s">
        <v>104</v>
      </c>
      <c r="K52" s="106" t="s">
        <v>79</v>
      </c>
      <c r="L52" s="119" t="str">
        <f>IF($B52="","",IFERROR(INDEX(Productos!$C:$C,MATCH($B52,Productos!$A:$A,0)),""))</f>
        <v>Lácteos</v>
      </c>
    </row>
    <row r="53" spans="1:12" ht="15" customHeight="1" x14ac:dyDescent="0.3">
      <c r="A53" s="105">
        <v>46208</v>
      </c>
      <c r="B53" s="106" t="s">
        <v>132</v>
      </c>
      <c r="C53" s="119" t="str">
        <f>IF($B53="","",IFERROR(INDEX(Productos!$B:$B,MATCH($B53,Productos!$A:$A,0)),""))</f>
        <v>Queso campesino 500 g</v>
      </c>
      <c r="D53" s="107">
        <v>2</v>
      </c>
      <c r="E53" s="120">
        <f>IF($B53="","",IFERROR(INDEX(Productos!$F:$F,MATCH($B53,Productos!$A:$A,0)),0))</f>
        <v>13500</v>
      </c>
      <c r="F53" s="120">
        <f t="shared" si="0"/>
        <v>27000</v>
      </c>
      <c r="G53" s="120">
        <f>IF($B53="","",IFERROR(INDEX(Productos!$E:$E,MATCH($B53,Productos!$A:$A,0)),0))</f>
        <v>9800</v>
      </c>
      <c r="H53" s="120">
        <f t="shared" si="1"/>
        <v>19600</v>
      </c>
      <c r="I53" s="120">
        <f t="shared" si="2"/>
        <v>7400</v>
      </c>
      <c r="J53" s="106" t="s">
        <v>106</v>
      </c>
      <c r="K53" s="106" t="s">
        <v>78</v>
      </c>
      <c r="L53" s="119" t="str">
        <f>IF($B53="","",IFERROR(INDEX(Productos!$C:$C,MATCH($B53,Productos!$A:$A,0)),""))</f>
        <v>Lácteos</v>
      </c>
    </row>
    <row r="54" spans="1:12" ht="15" customHeight="1" x14ac:dyDescent="0.3">
      <c r="A54" s="105">
        <v>46208</v>
      </c>
      <c r="B54" s="106" t="s">
        <v>134</v>
      </c>
      <c r="C54" s="119" t="str">
        <f>IF($B54="","",IFERROR(INDEX(Productos!$B:$B,MATCH($B54,Productos!$A:$A,0)),""))</f>
        <v>Yogur 1 L</v>
      </c>
      <c r="D54" s="107">
        <v>1</v>
      </c>
      <c r="E54" s="120">
        <f>IF($B54="","",IFERROR(INDEX(Productos!$F:$F,MATCH($B54,Productos!$A:$A,0)),0))</f>
        <v>7200</v>
      </c>
      <c r="F54" s="120">
        <f t="shared" si="0"/>
        <v>7200</v>
      </c>
      <c r="G54" s="120">
        <f>IF($B54="","",IFERROR(INDEX(Productos!$E:$E,MATCH($B54,Productos!$A:$A,0)),0))</f>
        <v>5400</v>
      </c>
      <c r="H54" s="120">
        <f t="shared" si="1"/>
        <v>5400</v>
      </c>
      <c r="I54" s="120">
        <f t="shared" si="2"/>
        <v>1800</v>
      </c>
      <c r="J54" s="106" t="s">
        <v>102</v>
      </c>
      <c r="K54" s="106" t="s">
        <v>79</v>
      </c>
      <c r="L54" s="119" t="str">
        <f>IF($B54="","",IFERROR(INDEX(Productos!$C:$C,MATCH($B54,Productos!$A:$A,0)),""))</f>
        <v>Lácteos</v>
      </c>
    </row>
    <row r="55" spans="1:12" ht="15" customHeight="1" x14ac:dyDescent="0.3">
      <c r="A55" s="105">
        <v>46208</v>
      </c>
      <c r="B55" s="106" t="s">
        <v>136</v>
      </c>
      <c r="C55" s="119" t="str">
        <f>IF($B55="","",IFERROR(INDEX(Productos!$B:$B,MATCH($B55,Productos!$A:$A,0)),""))</f>
        <v>Gaseosa 1,5 L</v>
      </c>
      <c r="D55" s="107">
        <v>2</v>
      </c>
      <c r="E55" s="120">
        <f>IF($B55="","",IFERROR(INDEX(Productos!$F:$F,MATCH($B55,Productos!$A:$A,0)),0))</f>
        <v>4500</v>
      </c>
      <c r="F55" s="120">
        <f t="shared" si="0"/>
        <v>9000</v>
      </c>
      <c r="G55" s="120">
        <f>IF($B55="","",IFERROR(INDEX(Productos!$E:$E,MATCH($B55,Productos!$A:$A,0)),0))</f>
        <v>3400</v>
      </c>
      <c r="H55" s="120">
        <f t="shared" si="1"/>
        <v>6800</v>
      </c>
      <c r="I55" s="120">
        <f t="shared" si="2"/>
        <v>2200</v>
      </c>
      <c r="J55" s="106" t="s">
        <v>104</v>
      </c>
      <c r="K55" s="106" t="s">
        <v>78</v>
      </c>
      <c r="L55" s="119" t="str">
        <f>IF($B55="","",IFERROR(INDEX(Productos!$C:$C,MATCH($B55,Productos!$A:$A,0)),""))</f>
        <v>Bebidas</v>
      </c>
    </row>
    <row r="56" spans="1:12" ht="15" customHeight="1" x14ac:dyDescent="0.3">
      <c r="A56" s="105">
        <v>46208</v>
      </c>
      <c r="B56" s="106" t="s">
        <v>139</v>
      </c>
      <c r="C56" s="119" t="str">
        <f>IF($B56="","",IFERROR(INDEX(Productos!$B:$B,MATCH($B56,Productos!$A:$A,0)),""))</f>
        <v>Agua 600 ml</v>
      </c>
      <c r="D56" s="107">
        <v>4</v>
      </c>
      <c r="E56" s="120">
        <f>IF($B56="","",IFERROR(INDEX(Productos!$F:$F,MATCH($B56,Productos!$A:$A,0)),0))</f>
        <v>1800</v>
      </c>
      <c r="F56" s="120">
        <f t="shared" si="0"/>
        <v>7200</v>
      </c>
      <c r="G56" s="120">
        <f>IF($B56="","",IFERROR(INDEX(Productos!$E:$E,MATCH($B56,Productos!$A:$A,0)),0))</f>
        <v>1200</v>
      </c>
      <c r="H56" s="120">
        <f t="shared" si="1"/>
        <v>4800</v>
      </c>
      <c r="I56" s="120">
        <f t="shared" si="2"/>
        <v>2400</v>
      </c>
      <c r="J56" s="106" t="s">
        <v>104</v>
      </c>
      <c r="K56" s="106" t="s">
        <v>79</v>
      </c>
      <c r="L56" s="119" t="str">
        <f>IF($B56="","",IFERROR(INDEX(Productos!$C:$C,MATCH($B56,Productos!$A:$A,0)),""))</f>
        <v>Bebidas</v>
      </c>
    </row>
    <row r="57" spans="1:12" ht="15" customHeight="1" x14ac:dyDescent="0.3">
      <c r="A57" s="105">
        <v>46208</v>
      </c>
      <c r="B57" s="106" t="s">
        <v>141</v>
      </c>
      <c r="C57" s="119" t="str">
        <f>IF($B57="","",IFERROR(INDEX(Productos!$B:$B,MATCH($B57,Productos!$A:$A,0)),""))</f>
        <v>Cerveza lata 330 ml</v>
      </c>
      <c r="D57" s="107">
        <v>1</v>
      </c>
      <c r="E57" s="120">
        <f>IF($B57="","",IFERROR(INDEX(Productos!$F:$F,MATCH($B57,Productos!$A:$A,0)),0))</f>
        <v>3800</v>
      </c>
      <c r="F57" s="120">
        <f t="shared" si="0"/>
        <v>3800</v>
      </c>
      <c r="G57" s="120">
        <f>IF($B57="","",IFERROR(INDEX(Productos!$E:$E,MATCH($B57,Productos!$A:$A,0)),0))</f>
        <v>2600</v>
      </c>
      <c r="H57" s="120">
        <f t="shared" si="1"/>
        <v>2600</v>
      </c>
      <c r="I57" s="120">
        <f t="shared" si="2"/>
        <v>1200</v>
      </c>
      <c r="J57" s="106" t="s">
        <v>102</v>
      </c>
      <c r="K57" s="106" t="s">
        <v>78</v>
      </c>
      <c r="L57" s="119" t="str">
        <f>IF($B57="","",IFERROR(INDEX(Productos!$C:$C,MATCH($B57,Productos!$A:$A,0)),""))</f>
        <v>Bebidas</v>
      </c>
    </row>
    <row r="58" spans="1:12" ht="15" customHeight="1" x14ac:dyDescent="0.3">
      <c r="A58" s="105">
        <v>46208</v>
      </c>
      <c r="B58" s="106" t="s">
        <v>143</v>
      </c>
      <c r="C58" s="119" t="str">
        <f>IF($B58="","",IFERROR(INDEX(Productos!$B:$B,MATCH($B58,Productos!$A:$A,0)),""))</f>
        <v>Pan tajado 500 g</v>
      </c>
      <c r="D58" s="107">
        <v>2</v>
      </c>
      <c r="E58" s="120">
        <f>IF($B58="","",IFERROR(INDEX(Productos!$F:$F,MATCH($B58,Productos!$A:$A,0)),0))</f>
        <v>5200</v>
      </c>
      <c r="F58" s="120">
        <f t="shared" si="0"/>
        <v>10400</v>
      </c>
      <c r="G58" s="120">
        <f>IF($B58="","",IFERROR(INDEX(Productos!$E:$E,MATCH($B58,Productos!$A:$A,0)),0))</f>
        <v>3900</v>
      </c>
      <c r="H58" s="120">
        <f t="shared" si="1"/>
        <v>7800</v>
      </c>
      <c r="I58" s="120">
        <f t="shared" si="2"/>
        <v>2600</v>
      </c>
      <c r="J58" s="106" t="s">
        <v>106</v>
      </c>
      <c r="K58" s="106" t="s">
        <v>79</v>
      </c>
      <c r="L58" s="119" t="str">
        <f>IF($B58="","",IFERROR(INDEX(Productos!$C:$C,MATCH($B58,Productos!$A:$A,0)),""))</f>
        <v>Panadería</v>
      </c>
    </row>
    <row r="59" spans="1:12" ht="15" customHeight="1" x14ac:dyDescent="0.3">
      <c r="A59" s="105">
        <v>46208</v>
      </c>
      <c r="B59" s="106" t="s">
        <v>146</v>
      </c>
      <c r="C59" s="119" t="str">
        <f>IF($B59="","",IFERROR(INDEX(Productos!$B:$B,MATCH($B59,Productos!$A:$A,0)),""))</f>
        <v>Galletas surtidas</v>
      </c>
      <c r="D59" s="107">
        <v>3</v>
      </c>
      <c r="E59" s="120">
        <f>IF($B59="","",IFERROR(INDEX(Productos!$F:$F,MATCH($B59,Productos!$A:$A,0)),0))</f>
        <v>2700</v>
      </c>
      <c r="F59" s="120">
        <f t="shared" si="0"/>
        <v>8100</v>
      </c>
      <c r="G59" s="120">
        <f>IF($B59="","",IFERROR(INDEX(Productos!$E:$E,MATCH($B59,Productos!$A:$A,0)),0))</f>
        <v>1800</v>
      </c>
      <c r="H59" s="120">
        <f t="shared" si="1"/>
        <v>5400</v>
      </c>
      <c r="I59" s="120">
        <f t="shared" si="2"/>
        <v>2700</v>
      </c>
      <c r="J59" s="106" t="s">
        <v>106</v>
      </c>
      <c r="K59" s="106" t="s">
        <v>80</v>
      </c>
      <c r="L59" s="119" t="str">
        <f>IF($B59="","",IFERROR(INDEX(Productos!$C:$C,MATCH($B59,Productos!$A:$A,0)),""))</f>
        <v>Snacks</v>
      </c>
    </row>
    <row r="60" spans="1:12" ht="15" customHeight="1" x14ac:dyDescent="0.3">
      <c r="A60" s="105">
        <v>46208</v>
      </c>
      <c r="B60" s="106" t="s">
        <v>149</v>
      </c>
      <c r="C60" s="119" t="str">
        <f>IF($B60="","",IFERROR(INDEX(Productos!$B:$B,MATCH($B60,Productos!$A:$A,0)),""))</f>
        <v>Papas fritas 105 g</v>
      </c>
      <c r="D60" s="107">
        <v>2</v>
      </c>
      <c r="E60" s="120">
        <f>IF($B60="","",IFERROR(INDEX(Productos!$F:$F,MATCH($B60,Productos!$A:$A,0)),0))</f>
        <v>4800</v>
      </c>
      <c r="F60" s="120">
        <f t="shared" si="0"/>
        <v>9600</v>
      </c>
      <c r="G60" s="120">
        <f>IF($B60="","",IFERROR(INDEX(Productos!$E:$E,MATCH($B60,Productos!$A:$A,0)),0))</f>
        <v>3200</v>
      </c>
      <c r="H60" s="120">
        <f t="shared" si="1"/>
        <v>6400</v>
      </c>
      <c r="I60" s="120">
        <f t="shared" si="2"/>
        <v>3200</v>
      </c>
      <c r="J60" s="106" t="s">
        <v>108</v>
      </c>
      <c r="K60" s="106" t="s">
        <v>80</v>
      </c>
      <c r="L60" s="119" t="str">
        <f>IF($B60="","",IFERROR(INDEX(Productos!$C:$C,MATCH($B60,Productos!$A:$A,0)),""))</f>
        <v>Snacks</v>
      </c>
    </row>
    <row r="61" spans="1:12" ht="15" customHeight="1" x14ac:dyDescent="0.3">
      <c r="A61" s="105">
        <v>46208</v>
      </c>
      <c r="B61" s="106" t="s">
        <v>156</v>
      </c>
      <c r="C61" s="119" t="str">
        <f>IF($B61="","",IFERROR(INDEX(Productos!$B:$B,MATCH($B61,Productos!$A:$A,0)),""))</f>
        <v>Papel higiénico x 4</v>
      </c>
      <c r="D61" s="107">
        <v>2</v>
      </c>
      <c r="E61" s="120">
        <f>IF($B61="","",IFERROR(INDEX(Productos!$F:$F,MATCH($B61,Productos!$A:$A,0)),0))</f>
        <v>7800</v>
      </c>
      <c r="F61" s="120">
        <f t="shared" si="0"/>
        <v>15600</v>
      </c>
      <c r="G61" s="120">
        <f>IF($B61="","",IFERROR(INDEX(Productos!$E:$E,MATCH($B61,Productos!$A:$A,0)),0))</f>
        <v>5600</v>
      </c>
      <c r="H61" s="120">
        <f t="shared" si="1"/>
        <v>11200</v>
      </c>
      <c r="I61" s="120">
        <f t="shared" si="2"/>
        <v>4400</v>
      </c>
      <c r="J61" s="106" t="s">
        <v>102</v>
      </c>
      <c r="K61" s="106" t="s">
        <v>79</v>
      </c>
      <c r="L61" s="119" t="str">
        <f>IF($B61="","",IFERROR(INDEX(Productos!$C:$C,MATCH($B61,Productos!$A:$A,0)),""))</f>
        <v>Aseo hogar</v>
      </c>
    </row>
    <row r="62" spans="1:12" ht="15" customHeight="1" x14ac:dyDescent="0.3">
      <c r="A62" s="105">
        <v>46208</v>
      </c>
      <c r="B62" s="106" t="s">
        <v>161</v>
      </c>
      <c r="C62" s="119" t="str">
        <f>IF($B62="","",IFERROR(INDEX(Productos!$B:$B,MATCH($B62,Productos!$A:$A,0)),""))</f>
        <v>Pollo entero kg</v>
      </c>
      <c r="D62" s="107">
        <v>3</v>
      </c>
      <c r="E62" s="120">
        <f>IF($B62="","",IFERROR(INDEX(Productos!$F:$F,MATCH($B62,Productos!$A:$A,0)),0))</f>
        <v>14800</v>
      </c>
      <c r="F62" s="120">
        <f t="shared" si="0"/>
        <v>44400</v>
      </c>
      <c r="G62" s="120">
        <f>IF($B62="","",IFERROR(INDEX(Productos!$E:$E,MATCH($B62,Productos!$A:$A,0)),0))</f>
        <v>11500</v>
      </c>
      <c r="H62" s="120">
        <f t="shared" si="1"/>
        <v>34500</v>
      </c>
      <c r="I62" s="120">
        <f t="shared" si="2"/>
        <v>9900</v>
      </c>
      <c r="J62" s="106" t="s">
        <v>106</v>
      </c>
      <c r="K62" s="106" t="s">
        <v>78</v>
      </c>
      <c r="L62" s="119" t="str">
        <f>IF($B62="","",IFERROR(INDEX(Productos!$C:$C,MATCH($B62,Productos!$A:$A,0)),""))</f>
        <v>Perecederos</v>
      </c>
    </row>
    <row r="63" spans="1:12" ht="15" customHeight="1" x14ac:dyDescent="0.3">
      <c r="A63" s="105">
        <v>46208</v>
      </c>
      <c r="B63" s="106" t="s">
        <v>163</v>
      </c>
      <c r="C63" s="119" t="str">
        <f>IF($B63="","",IFERROR(INDEX(Productos!$B:$B,MATCH($B63,Productos!$A:$A,0)),""))</f>
        <v>Tomate kg</v>
      </c>
      <c r="D63" s="107">
        <v>1</v>
      </c>
      <c r="E63" s="120">
        <f>IF($B63="","",IFERROR(INDEX(Productos!$F:$F,MATCH($B63,Productos!$A:$A,0)),0))</f>
        <v>4200</v>
      </c>
      <c r="F63" s="120">
        <f t="shared" si="0"/>
        <v>4200</v>
      </c>
      <c r="G63" s="120">
        <f>IF($B63="","",IFERROR(INDEX(Productos!$E:$E,MATCH($B63,Productos!$A:$A,0)),0))</f>
        <v>2800</v>
      </c>
      <c r="H63" s="120">
        <f t="shared" si="1"/>
        <v>2800</v>
      </c>
      <c r="I63" s="120">
        <f t="shared" si="2"/>
        <v>1400</v>
      </c>
      <c r="J63" s="106" t="s">
        <v>108</v>
      </c>
      <c r="K63" s="106" t="s">
        <v>79</v>
      </c>
      <c r="L63" s="119" t="str">
        <f>IF($B63="","",IFERROR(INDEX(Productos!$C:$C,MATCH($B63,Productos!$A:$A,0)),""))</f>
        <v>Frutas y verduras</v>
      </c>
    </row>
    <row r="64" spans="1:12" ht="15" customHeight="1" x14ac:dyDescent="0.3">
      <c r="A64" s="105">
        <v>46208</v>
      </c>
      <c r="B64" s="106" t="s">
        <v>166</v>
      </c>
      <c r="C64" s="119" t="str">
        <f>IF($B64="","",IFERROR(INDEX(Productos!$B:$B,MATCH($B64,Productos!$A:$A,0)),""))</f>
        <v>Papa kg</v>
      </c>
      <c r="D64" s="107">
        <v>3</v>
      </c>
      <c r="E64" s="120">
        <f>IF($B64="","",IFERROR(INDEX(Productos!$F:$F,MATCH($B64,Productos!$A:$A,0)),0))</f>
        <v>2800</v>
      </c>
      <c r="F64" s="120">
        <f t="shared" si="0"/>
        <v>8400</v>
      </c>
      <c r="G64" s="120">
        <f>IF($B64="","",IFERROR(INDEX(Productos!$E:$E,MATCH($B64,Productos!$A:$A,0)),0))</f>
        <v>1900</v>
      </c>
      <c r="H64" s="120">
        <f t="shared" si="1"/>
        <v>5700</v>
      </c>
      <c r="I64" s="120">
        <f t="shared" si="2"/>
        <v>2700</v>
      </c>
      <c r="J64" s="106" t="s">
        <v>104</v>
      </c>
      <c r="K64" s="106" t="s">
        <v>78</v>
      </c>
      <c r="L64" s="119" t="str">
        <f>IF($B64="","",IFERROR(INDEX(Productos!$C:$C,MATCH($B64,Productos!$A:$A,0)),""))</f>
        <v>Frutas y verduras</v>
      </c>
    </row>
    <row r="65" spans="1:12" ht="15" customHeight="1" x14ac:dyDescent="0.3">
      <c r="A65" s="105">
        <v>46208</v>
      </c>
      <c r="B65" s="106" t="s">
        <v>168</v>
      </c>
      <c r="C65" s="119" t="str">
        <f>IF($B65="","",IFERROR(INDEX(Productos!$B:$B,MATCH($B65,Productos!$A:$A,0)),""))</f>
        <v>Banano kg</v>
      </c>
      <c r="D65" s="107">
        <v>3</v>
      </c>
      <c r="E65" s="120">
        <f>IF($B65="","",IFERROR(INDEX(Productos!$F:$F,MATCH($B65,Productos!$A:$A,0)),0))</f>
        <v>3400</v>
      </c>
      <c r="F65" s="120">
        <f t="shared" si="0"/>
        <v>10200</v>
      </c>
      <c r="G65" s="120">
        <f>IF($B65="","",IFERROR(INDEX(Productos!$E:$E,MATCH($B65,Productos!$A:$A,0)),0))</f>
        <v>2200</v>
      </c>
      <c r="H65" s="120">
        <f t="shared" si="1"/>
        <v>6600</v>
      </c>
      <c r="I65" s="120">
        <f t="shared" si="2"/>
        <v>3600</v>
      </c>
      <c r="J65" s="106" t="s">
        <v>102</v>
      </c>
      <c r="K65" s="106" t="s">
        <v>78</v>
      </c>
      <c r="L65" s="119" t="str">
        <f>IF($B65="","",IFERROR(INDEX(Productos!$C:$C,MATCH($B65,Productos!$A:$A,0)),""))</f>
        <v>Frutas y verduras</v>
      </c>
    </row>
    <row r="66" spans="1:12" ht="15" customHeight="1" x14ac:dyDescent="0.3">
      <c r="A66" s="105">
        <v>46209</v>
      </c>
      <c r="B66" s="106" t="s">
        <v>121</v>
      </c>
      <c r="C66" s="119" t="str">
        <f>IF($B66="","",IFERROR(INDEX(Productos!$B:$B,MATCH($B66,Productos!$A:$A,0)),""))</f>
        <v>Arroz x 500 g</v>
      </c>
      <c r="D66" s="107">
        <v>1</v>
      </c>
      <c r="E66" s="120">
        <f>IF($B66="","",IFERROR(INDEX(Productos!$F:$F,MATCH($B66,Productos!$A:$A,0)),0))</f>
        <v>2600</v>
      </c>
      <c r="F66" s="120">
        <f t="shared" si="0"/>
        <v>2600</v>
      </c>
      <c r="G66" s="120">
        <f>IF($B66="","",IFERROR(INDEX(Productos!$E:$E,MATCH($B66,Productos!$A:$A,0)),0))</f>
        <v>1850</v>
      </c>
      <c r="H66" s="120">
        <f t="shared" si="1"/>
        <v>1850</v>
      </c>
      <c r="I66" s="120">
        <f t="shared" si="2"/>
        <v>750</v>
      </c>
      <c r="J66" s="106" t="s">
        <v>102</v>
      </c>
      <c r="K66" s="106" t="s">
        <v>81</v>
      </c>
      <c r="L66" s="119" t="str">
        <f>IF($B66="","",IFERROR(INDEX(Productos!$C:$C,MATCH($B66,Productos!$A:$A,0)),""))</f>
        <v>Granos y abarrotes</v>
      </c>
    </row>
    <row r="67" spans="1:12" ht="15" customHeight="1" x14ac:dyDescent="0.3">
      <c r="A67" s="105">
        <v>46209</v>
      </c>
      <c r="B67" s="106" t="s">
        <v>124</v>
      </c>
      <c r="C67" s="119" t="str">
        <f>IF($B67="","",IFERROR(INDEX(Productos!$B:$B,MATCH($B67,Productos!$A:$A,0)),""))</f>
        <v>Aceite girasol 1 L</v>
      </c>
      <c r="D67" s="107">
        <v>3</v>
      </c>
      <c r="E67" s="120">
        <f>IF($B67="","",IFERROR(INDEX(Productos!$F:$F,MATCH($B67,Productos!$A:$A,0)),0))</f>
        <v>9500</v>
      </c>
      <c r="F67" s="120">
        <f t="shared" si="0"/>
        <v>28500</v>
      </c>
      <c r="G67" s="120">
        <f>IF($B67="","",IFERROR(INDEX(Productos!$E:$E,MATCH($B67,Productos!$A:$A,0)),0))</f>
        <v>7200</v>
      </c>
      <c r="H67" s="120">
        <f t="shared" si="1"/>
        <v>21600</v>
      </c>
      <c r="I67" s="120">
        <f t="shared" si="2"/>
        <v>6900</v>
      </c>
      <c r="J67" s="106" t="s">
        <v>102</v>
      </c>
      <c r="K67" s="106" t="s">
        <v>78</v>
      </c>
      <c r="L67" s="119" t="str">
        <f>IF($B67="","",IFERROR(INDEX(Productos!$C:$C,MATCH($B67,Productos!$A:$A,0)),""))</f>
        <v>Granos y abarrotes</v>
      </c>
    </row>
    <row r="68" spans="1:12" ht="15" customHeight="1" x14ac:dyDescent="0.3">
      <c r="A68" s="105">
        <v>46209</v>
      </c>
      <c r="B68" s="106" t="s">
        <v>126</v>
      </c>
      <c r="C68" s="119" t="str">
        <f>IF($B68="","",IFERROR(INDEX(Productos!$B:$B,MATCH($B68,Productos!$A:$A,0)),""))</f>
        <v>Panela x 500 g</v>
      </c>
      <c r="D68" s="107">
        <v>2</v>
      </c>
      <c r="E68" s="120">
        <f>IF($B68="","",IFERROR(INDEX(Productos!$F:$F,MATCH($B68,Productos!$A:$A,0)),0))</f>
        <v>2900</v>
      </c>
      <c r="F68" s="120">
        <f t="shared" si="0"/>
        <v>5800</v>
      </c>
      <c r="G68" s="120">
        <f>IF($B68="","",IFERROR(INDEX(Productos!$E:$E,MATCH($B68,Productos!$A:$A,0)),0))</f>
        <v>2100</v>
      </c>
      <c r="H68" s="120">
        <f t="shared" si="1"/>
        <v>4200</v>
      </c>
      <c r="I68" s="120">
        <f t="shared" si="2"/>
        <v>1600</v>
      </c>
      <c r="J68" s="106" t="s">
        <v>104</v>
      </c>
      <c r="K68" s="106" t="s">
        <v>78</v>
      </c>
      <c r="L68" s="119" t="str">
        <f>IF($B68="","",IFERROR(INDEX(Productos!$C:$C,MATCH($B68,Productos!$A:$A,0)),""))</f>
        <v>Granos y abarrotes</v>
      </c>
    </row>
    <row r="69" spans="1:12" ht="15" customHeight="1" x14ac:dyDescent="0.3">
      <c r="A69" s="105">
        <v>46209</v>
      </c>
      <c r="B69" s="106" t="s">
        <v>129</v>
      </c>
      <c r="C69" s="119" t="str">
        <f>IF($B69="","",IFERROR(INDEX(Productos!$B:$B,MATCH($B69,Productos!$A:$A,0)),""))</f>
        <v>Leche entera 1 L</v>
      </c>
      <c r="D69" s="107">
        <v>2</v>
      </c>
      <c r="E69" s="120">
        <f>IF($B69="","",IFERROR(INDEX(Productos!$F:$F,MATCH($B69,Productos!$A:$A,0)),0))</f>
        <v>3900</v>
      </c>
      <c r="F69" s="120">
        <f t="shared" ref="F69:F132" si="3">IF($B69="","",N(D69)*E69)</f>
        <v>7800</v>
      </c>
      <c r="G69" s="120">
        <f>IF($B69="","",IFERROR(INDEX(Productos!$E:$E,MATCH($B69,Productos!$A:$A,0)),0))</f>
        <v>3100</v>
      </c>
      <c r="H69" s="120">
        <f t="shared" ref="H69:H132" si="4">IF($B69="","",N(D69)*G69)</f>
        <v>6200</v>
      </c>
      <c r="I69" s="120">
        <f t="shared" ref="I69:I132" si="5">IF($B69="","",F69-H69)</f>
        <v>1600</v>
      </c>
      <c r="J69" s="106" t="s">
        <v>102</v>
      </c>
      <c r="K69" s="106" t="s">
        <v>81</v>
      </c>
      <c r="L69" s="119" t="str">
        <f>IF($B69="","",IFERROR(INDEX(Productos!$C:$C,MATCH($B69,Productos!$A:$A,0)),""))</f>
        <v>Lácteos</v>
      </c>
    </row>
    <row r="70" spans="1:12" ht="15" customHeight="1" x14ac:dyDescent="0.3">
      <c r="A70" s="105">
        <v>46209</v>
      </c>
      <c r="B70" s="106" t="s">
        <v>136</v>
      </c>
      <c r="C70" s="119" t="str">
        <f>IF($B70="","",IFERROR(INDEX(Productos!$B:$B,MATCH($B70,Productos!$A:$A,0)),""))</f>
        <v>Gaseosa 1,5 L</v>
      </c>
      <c r="D70" s="107">
        <v>1</v>
      </c>
      <c r="E70" s="120">
        <f>IF($B70="","",IFERROR(INDEX(Productos!$F:$F,MATCH($B70,Productos!$A:$A,0)),0))</f>
        <v>4500</v>
      </c>
      <c r="F70" s="120">
        <f t="shared" si="3"/>
        <v>4500</v>
      </c>
      <c r="G70" s="120">
        <f>IF($B70="","",IFERROR(INDEX(Productos!$E:$E,MATCH($B70,Productos!$A:$A,0)),0))</f>
        <v>3400</v>
      </c>
      <c r="H70" s="120">
        <f t="shared" si="4"/>
        <v>3400</v>
      </c>
      <c r="I70" s="120">
        <f t="shared" si="5"/>
        <v>1100</v>
      </c>
      <c r="J70" s="106" t="s">
        <v>102</v>
      </c>
      <c r="K70" s="106" t="s">
        <v>79</v>
      </c>
      <c r="L70" s="119" t="str">
        <f>IF($B70="","",IFERROR(INDEX(Productos!$C:$C,MATCH($B70,Productos!$A:$A,0)),""))</f>
        <v>Bebidas</v>
      </c>
    </row>
    <row r="71" spans="1:12" ht="15" customHeight="1" x14ac:dyDescent="0.3">
      <c r="A71" s="105">
        <v>46209</v>
      </c>
      <c r="B71" s="106" t="s">
        <v>139</v>
      </c>
      <c r="C71" s="119" t="str">
        <f>IF($B71="","",IFERROR(INDEX(Productos!$B:$B,MATCH($B71,Productos!$A:$A,0)),""))</f>
        <v>Agua 600 ml</v>
      </c>
      <c r="D71" s="107">
        <v>1</v>
      </c>
      <c r="E71" s="120">
        <f>IF($B71="","",IFERROR(INDEX(Productos!$F:$F,MATCH($B71,Productos!$A:$A,0)),0))</f>
        <v>1800</v>
      </c>
      <c r="F71" s="120">
        <f t="shared" si="3"/>
        <v>1800</v>
      </c>
      <c r="G71" s="120">
        <f>IF($B71="","",IFERROR(INDEX(Productos!$E:$E,MATCH($B71,Productos!$A:$A,0)),0))</f>
        <v>1200</v>
      </c>
      <c r="H71" s="120">
        <f t="shared" si="4"/>
        <v>1200</v>
      </c>
      <c r="I71" s="120">
        <f t="shared" si="5"/>
        <v>600</v>
      </c>
      <c r="J71" s="106" t="s">
        <v>104</v>
      </c>
      <c r="K71" s="106" t="s">
        <v>80</v>
      </c>
      <c r="L71" s="119" t="str">
        <f>IF($B71="","",IFERROR(INDEX(Productos!$C:$C,MATCH($B71,Productos!$A:$A,0)),""))</f>
        <v>Bebidas</v>
      </c>
    </row>
    <row r="72" spans="1:12" ht="15" customHeight="1" x14ac:dyDescent="0.3">
      <c r="A72" s="105">
        <v>46209</v>
      </c>
      <c r="B72" s="106" t="s">
        <v>141</v>
      </c>
      <c r="C72" s="119" t="str">
        <f>IF($B72="","",IFERROR(INDEX(Productos!$B:$B,MATCH($B72,Productos!$A:$A,0)),""))</f>
        <v>Cerveza lata 330 ml</v>
      </c>
      <c r="D72" s="107">
        <v>2</v>
      </c>
      <c r="E72" s="120">
        <f>IF($B72="","",IFERROR(INDEX(Productos!$F:$F,MATCH($B72,Productos!$A:$A,0)),0))</f>
        <v>3800</v>
      </c>
      <c r="F72" s="120">
        <f t="shared" si="3"/>
        <v>7600</v>
      </c>
      <c r="G72" s="120">
        <f>IF($B72="","",IFERROR(INDEX(Productos!$E:$E,MATCH($B72,Productos!$A:$A,0)),0))</f>
        <v>2600</v>
      </c>
      <c r="H72" s="120">
        <f t="shared" si="4"/>
        <v>5200</v>
      </c>
      <c r="I72" s="120">
        <f t="shared" si="5"/>
        <v>2400</v>
      </c>
      <c r="J72" s="106" t="s">
        <v>106</v>
      </c>
      <c r="K72" s="106" t="s">
        <v>80</v>
      </c>
      <c r="L72" s="119" t="str">
        <f>IF($B72="","",IFERROR(INDEX(Productos!$C:$C,MATCH($B72,Productos!$A:$A,0)),""))</f>
        <v>Bebidas</v>
      </c>
    </row>
    <row r="73" spans="1:12" ht="15" customHeight="1" x14ac:dyDescent="0.3">
      <c r="A73" s="105">
        <v>46209</v>
      </c>
      <c r="B73" s="106" t="s">
        <v>143</v>
      </c>
      <c r="C73" s="119" t="str">
        <f>IF($B73="","",IFERROR(INDEX(Productos!$B:$B,MATCH($B73,Productos!$A:$A,0)),""))</f>
        <v>Pan tajado 500 g</v>
      </c>
      <c r="D73" s="107">
        <v>2</v>
      </c>
      <c r="E73" s="120">
        <f>IF($B73="","",IFERROR(INDEX(Productos!$F:$F,MATCH($B73,Productos!$A:$A,0)),0))</f>
        <v>5200</v>
      </c>
      <c r="F73" s="120">
        <f t="shared" si="3"/>
        <v>10400</v>
      </c>
      <c r="G73" s="120">
        <f>IF($B73="","",IFERROR(INDEX(Productos!$E:$E,MATCH($B73,Productos!$A:$A,0)),0))</f>
        <v>3900</v>
      </c>
      <c r="H73" s="120">
        <f t="shared" si="4"/>
        <v>7800</v>
      </c>
      <c r="I73" s="120">
        <f t="shared" si="5"/>
        <v>2600</v>
      </c>
      <c r="J73" s="106" t="s">
        <v>106</v>
      </c>
      <c r="K73" s="106" t="s">
        <v>79</v>
      </c>
      <c r="L73" s="119" t="str">
        <f>IF($B73="","",IFERROR(INDEX(Productos!$C:$C,MATCH($B73,Productos!$A:$A,0)),""))</f>
        <v>Panadería</v>
      </c>
    </row>
    <row r="74" spans="1:12" ht="15" customHeight="1" x14ac:dyDescent="0.3">
      <c r="A74" s="105">
        <v>46209</v>
      </c>
      <c r="B74" s="106" t="s">
        <v>146</v>
      </c>
      <c r="C74" s="119" t="str">
        <f>IF($B74="","",IFERROR(INDEX(Productos!$B:$B,MATCH($B74,Productos!$A:$A,0)),""))</f>
        <v>Galletas surtidas</v>
      </c>
      <c r="D74" s="107">
        <v>3</v>
      </c>
      <c r="E74" s="120">
        <f>IF($B74="","",IFERROR(INDEX(Productos!$F:$F,MATCH($B74,Productos!$A:$A,0)),0))</f>
        <v>2700</v>
      </c>
      <c r="F74" s="120">
        <f t="shared" si="3"/>
        <v>8100</v>
      </c>
      <c r="G74" s="120">
        <f>IF($B74="","",IFERROR(INDEX(Productos!$E:$E,MATCH($B74,Productos!$A:$A,0)),0))</f>
        <v>1800</v>
      </c>
      <c r="H74" s="120">
        <f t="shared" si="4"/>
        <v>5400</v>
      </c>
      <c r="I74" s="120">
        <f t="shared" si="5"/>
        <v>2700</v>
      </c>
      <c r="J74" s="106" t="s">
        <v>106</v>
      </c>
      <c r="K74" s="106" t="s">
        <v>78</v>
      </c>
      <c r="L74" s="119" t="str">
        <f>IF($B74="","",IFERROR(INDEX(Productos!$C:$C,MATCH($B74,Productos!$A:$A,0)),""))</f>
        <v>Snacks</v>
      </c>
    </row>
    <row r="75" spans="1:12" ht="15" customHeight="1" x14ac:dyDescent="0.3">
      <c r="A75" s="105">
        <v>46209</v>
      </c>
      <c r="B75" s="106" t="s">
        <v>151</v>
      </c>
      <c r="C75" s="119" t="str">
        <f>IF($B75="","",IFERROR(INDEX(Productos!$B:$B,MATCH($B75,Productos!$A:$A,0)),""))</f>
        <v>Detergente 1 kg</v>
      </c>
      <c r="D75" s="107">
        <v>2</v>
      </c>
      <c r="E75" s="120">
        <f>IF($B75="","",IFERROR(INDEX(Productos!$F:$F,MATCH($B75,Productos!$A:$A,0)),0))</f>
        <v>9200</v>
      </c>
      <c r="F75" s="120">
        <f t="shared" si="3"/>
        <v>18400</v>
      </c>
      <c r="G75" s="120">
        <f>IF($B75="","",IFERROR(INDEX(Productos!$E:$E,MATCH($B75,Productos!$A:$A,0)),0))</f>
        <v>6800</v>
      </c>
      <c r="H75" s="120">
        <f t="shared" si="4"/>
        <v>13600</v>
      </c>
      <c r="I75" s="120">
        <f t="shared" si="5"/>
        <v>4800</v>
      </c>
      <c r="J75" s="106" t="s">
        <v>102</v>
      </c>
      <c r="K75" s="106" t="s">
        <v>78</v>
      </c>
      <c r="L75" s="119" t="str">
        <f>IF($B75="","",IFERROR(INDEX(Productos!$C:$C,MATCH($B75,Productos!$A:$A,0)),""))</f>
        <v>Aseo hogar</v>
      </c>
    </row>
    <row r="76" spans="1:12" ht="15" customHeight="1" x14ac:dyDescent="0.3">
      <c r="A76" s="105">
        <v>46209</v>
      </c>
      <c r="B76" s="106" t="s">
        <v>158</v>
      </c>
      <c r="C76" s="119" t="str">
        <f>IF($B76="","",IFERROR(INDEX(Productos!$B:$B,MATCH($B76,Productos!$A:$A,0)),""))</f>
        <v>Huevos AA x 12</v>
      </c>
      <c r="D76" s="107">
        <v>1</v>
      </c>
      <c r="E76" s="120">
        <f>IF($B76="","",IFERROR(INDEX(Productos!$F:$F,MATCH($B76,Productos!$A:$A,0)),0))</f>
        <v>12000</v>
      </c>
      <c r="F76" s="120">
        <f t="shared" si="3"/>
        <v>12000</v>
      </c>
      <c r="G76" s="120">
        <f>IF($B76="","",IFERROR(INDEX(Productos!$E:$E,MATCH($B76,Productos!$A:$A,0)),0))</f>
        <v>9200</v>
      </c>
      <c r="H76" s="120">
        <f t="shared" si="4"/>
        <v>9200</v>
      </c>
      <c r="I76" s="120">
        <f t="shared" si="5"/>
        <v>2800</v>
      </c>
      <c r="J76" s="106" t="s">
        <v>104</v>
      </c>
      <c r="K76" s="106" t="s">
        <v>78</v>
      </c>
      <c r="L76" s="119" t="str">
        <f>IF($B76="","",IFERROR(INDEX(Productos!$C:$C,MATCH($B76,Productos!$A:$A,0)),""))</f>
        <v>Perecederos</v>
      </c>
    </row>
    <row r="77" spans="1:12" ht="15" customHeight="1" x14ac:dyDescent="0.3">
      <c r="A77" s="105">
        <v>46209</v>
      </c>
      <c r="B77" s="106" t="s">
        <v>163</v>
      </c>
      <c r="C77" s="119" t="str">
        <f>IF($B77="","",IFERROR(INDEX(Productos!$B:$B,MATCH($B77,Productos!$A:$A,0)),""))</f>
        <v>Tomate kg</v>
      </c>
      <c r="D77" s="107">
        <v>2</v>
      </c>
      <c r="E77" s="120">
        <f>IF($B77="","",IFERROR(INDEX(Productos!$F:$F,MATCH($B77,Productos!$A:$A,0)),0))</f>
        <v>4200</v>
      </c>
      <c r="F77" s="120">
        <f t="shared" si="3"/>
        <v>8400</v>
      </c>
      <c r="G77" s="120">
        <f>IF($B77="","",IFERROR(INDEX(Productos!$E:$E,MATCH($B77,Productos!$A:$A,0)),0))</f>
        <v>2800</v>
      </c>
      <c r="H77" s="120">
        <f t="shared" si="4"/>
        <v>5600</v>
      </c>
      <c r="I77" s="120">
        <f t="shared" si="5"/>
        <v>2800</v>
      </c>
      <c r="J77" s="106" t="s">
        <v>104</v>
      </c>
      <c r="K77" s="106" t="s">
        <v>78</v>
      </c>
      <c r="L77" s="119" t="str">
        <f>IF($B77="","",IFERROR(INDEX(Productos!$C:$C,MATCH($B77,Productos!$A:$A,0)),""))</f>
        <v>Frutas y verduras</v>
      </c>
    </row>
    <row r="78" spans="1:12" ht="15" customHeight="1" x14ac:dyDescent="0.3">
      <c r="A78" s="105">
        <v>46209</v>
      </c>
      <c r="B78" s="106" t="s">
        <v>166</v>
      </c>
      <c r="C78" s="119" t="str">
        <f>IF($B78="","",IFERROR(INDEX(Productos!$B:$B,MATCH($B78,Productos!$A:$A,0)),""))</f>
        <v>Papa kg</v>
      </c>
      <c r="D78" s="107">
        <v>1</v>
      </c>
      <c r="E78" s="120">
        <f>IF($B78="","",IFERROR(INDEX(Productos!$F:$F,MATCH($B78,Productos!$A:$A,0)),0))</f>
        <v>2800</v>
      </c>
      <c r="F78" s="120">
        <f t="shared" si="3"/>
        <v>2800</v>
      </c>
      <c r="G78" s="120">
        <f>IF($B78="","",IFERROR(INDEX(Productos!$E:$E,MATCH($B78,Productos!$A:$A,0)),0))</f>
        <v>1900</v>
      </c>
      <c r="H78" s="120">
        <f t="shared" si="4"/>
        <v>1900</v>
      </c>
      <c r="I78" s="120">
        <f t="shared" si="5"/>
        <v>900</v>
      </c>
      <c r="J78" s="106" t="s">
        <v>106</v>
      </c>
      <c r="K78" s="106" t="s">
        <v>81</v>
      </c>
      <c r="L78" s="119" t="str">
        <f>IF($B78="","",IFERROR(INDEX(Productos!$C:$C,MATCH($B78,Productos!$A:$A,0)),""))</f>
        <v>Frutas y verduras</v>
      </c>
    </row>
    <row r="79" spans="1:12" ht="15" customHeight="1" x14ac:dyDescent="0.3">
      <c r="A79" s="105">
        <v>46210</v>
      </c>
      <c r="B79" s="106" t="s">
        <v>121</v>
      </c>
      <c r="C79" s="119" t="str">
        <f>IF($B79="","",IFERROR(INDEX(Productos!$B:$B,MATCH($B79,Productos!$A:$A,0)),""))</f>
        <v>Arroz x 500 g</v>
      </c>
      <c r="D79" s="107">
        <v>2</v>
      </c>
      <c r="E79" s="120">
        <f>IF($B79="","",IFERROR(INDEX(Productos!$F:$F,MATCH($B79,Productos!$A:$A,0)),0))</f>
        <v>2600</v>
      </c>
      <c r="F79" s="120">
        <f t="shared" si="3"/>
        <v>5200</v>
      </c>
      <c r="G79" s="120">
        <f>IF($B79="","",IFERROR(INDEX(Productos!$E:$E,MATCH($B79,Productos!$A:$A,0)),0))</f>
        <v>1850</v>
      </c>
      <c r="H79" s="120">
        <f t="shared" si="4"/>
        <v>3700</v>
      </c>
      <c r="I79" s="120">
        <f t="shared" si="5"/>
        <v>1500</v>
      </c>
      <c r="J79" s="106" t="s">
        <v>106</v>
      </c>
      <c r="K79" s="106" t="s">
        <v>78</v>
      </c>
      <c r="L79" s="119" t="str">
        <f>IF($B79="","",IFERROR(INDEX(Productos!$C:$C,MATCH($B79,Productos!$A:$A,0)),""))</f>
        <v>Granos y abarrotes</v>
      </c>
    </row>
    <row r="80" spans="1:12" ht="15" customHeight="1" x14ac:dyDescent="0.3">
      <c r="A80" s="105">
        <v>46210</v>
      </c>
      <c r="B80" s="106" t="s">
        <v>126</v>
      </c>
      <c r="C80" s="119" t="str">
        <f>IF($B80="","",IFERROR(INDEX(Productos!$B:$B,MATCH($B80,Productos!$A:$A,0)),""))</f>
        <v>Panela x 500 g</v>
      </c>
      <c r="D80" s="107">
        <v>4</v>
      </c>
      <c r="E80" s="120">
        <f>IF($B80="","",IFERROR(INDEX(Productos!$F:$F,MATCH($B80,Productos!$A:$A,0)),0))</f>
        <v>2900</v>
      </c>
      <c r="F80" s="120">
        <f t="shared" si="3"/>
        <v>11600</v>
      </c>
      <c r="G80" s="120">
        <f>IF($B80="","",IFERROR(INDEX(Productos!$E:$E,MATCH($B80,Productos!$A:$A,0)),0))</f>
        <v>2100</v>
      </c>
      <c r="H80" s="120">
        <f t="shared" si="4"/>
        <v>8400</v>
      </c>
      <c r="I80" s="120">
        <f t="shared" si="5"/>
        <v>3200</v>
      </c>
      <c r="J80" s="106" t="s">
        <v>104</v>
      </c>
      <c r="K80" s="106" t="s">
        <v>79</v>
      </c>
      <c r="L80" s="119" t="str">
        <f>IF($B80="","",IFERROR(INDEX(Productos!$C:$C,MATCH($B80,Productos!$A:$A,0)),""))</f>
        <v>Granos y abarrotes</v>
      </c>
    </row>
    <row r="81" spans="1:12" ht="15" customHeight="1" x14ac:dyDescent="0.3">
      <c r="A81" s="105">
        <v>46210</v>
      </c>
      <c r="B81" s="106" t="s">
        <v>129</v>
      </c>
      <c r="C81" s="119" t="str">
        <f>IF($B81="","",IFERROR(INDEX(Productos!$B:$B,MATCH($B81,Productos!$A:$A,0)),""))</f>
        <v>Leche entera 1 L</v>
      </c>
      <c r="D81" s="107">
        <v>3</v>
      </c>
      <c r="E81" s="120">
        <f>IF($B81="","",IFERROR(INDEX(Productos!$F:$F,MATCH($B81,Productos!$A:$A,0)),0))</f>
        <v>3900</v>
      </c>
      <c r="F81" s="120">
        <f t="shared" si="3"/>
        <v>11700</v>
      </c>
      <c r="G81" s="120">
        <f>IF($B81="","",IFERROR(INDEX(Productos!$E:$E,MATCH($B81,Productos!$A:$A,0)),0))</f>
        <v>3100</v>
      </c>
      <c r="H81" s="120">
        <f t="shared" si="4"/>
        <v>9300</v>
      </c>
      <c r="I81" s="120">
        <f t="shared" si="5"/>
        <v>2400</v>
      </c>
      <c r="J81" s="106" t="s">
        <v>104</v>
      </c>
      <c r="K81" s="106" t="s">
        <v>78</v>
      </c>
      <c r="L81" s="119" t="str">
        <f>IF($B81="","",IFERROR(INDEX(Productos!$C:$C,MATCH($B81,Productos!$A:$A,0)),""))</f>
        <v>Lácteos</v>
      </c>
    </row>
    <row r="82" spans="1:12" ht="15" customHeight="1" x14ac:dyDescent="0.3">
      <c r="A82" s="105">
        <v>46210</v>
      </c>
      <c r="B82" s="106" t="s">
        <v>132</v>
      </c>
      <c r="C82" s="119" t="str">
        <f>IF($B82="","",IFERROR(INDEX(Productos!$B:$B,MATCH($B82,Productos!$A:$A,0)),""))</f>
        <v>Queso campesino 500 g</v>
      </c>
      <c r="D82" s="107">
        <v>2</v>
      </c>
      <c r="E82" s="120">
        <f>IF($B82="","",IFERROR(INDEX(Productos!$F:$F,MATCH($B82,Productos!$A:$A,0)),0))</f>
        <v>13500</v>
      </c>
      <c r="F82" s="120">
        <f t="shared" si="3"/>
        <v>27000</v>
      </c>
      <c r="G82" s="120">
        <f>IF($B82="","",IFERROR(INDEX(Productos!$E:$E,MATCH($B82,Productos!$A:$A,0)),0))</f>
        <v>9800</v>
      </c>
      <c r="H82" s="120">
        <f t="shared" si="4"/>
        <v>19600</v>
      </c>
      <c r="I82" s="120">
        <f t="shared" si="5"/>
        <v>7400</v>
      </c>
      <c r="J82" s="106" t="s">
        <v>108</v>
      </c>
      <c r="K82" s="106" t="s">
        <v>78</v>
      </c>
      <c r="L82" s="119" t="str">
        <f>IF($B82="","",IFERROR(INDEX(Productos!$C:$C,MATCH($B82,Productos!$A:$A,0)),""))</f>
        <v>Lácteos</v>
      </c>
    </row>
    <row r="83" spans="1:12" ht="15" customHeight="1" x14ac:dyDescent="0.3">
      <c r="A83" s="105">
        <v>46210</v>
      </c>
      <c r="B83" s="106" t="s">
        <v>139</v>
      </c>
      <c r="C83" s="119" t="str">
        <f>IF($B83="","",IFERROR(INDEX(Productos!$B:$B,MATCH($B83,Productos!$A:$A,0)),""))</f>
        <v>Agua 600 ml</v>
      </c>
      <c r="D83" s="107">
        <v>1</v>
      </c>
      <c r="E83" s="120">
        <f>IF($B83="","",IFERROR(INDEX(Productos!$F:$F,MATCH($B83,Productos!$A:$A,0)),0))</f>
        <v>1800</v>
      </c>
      <c r="F83" s="120">
        <f t="shared" si="3"/>
        <v>1800</v>
      </c>
      <c r="G83" s="120">
        <f>IF($B83="","",IFERROR(INDEX(Productos!$E:$E,MATCH($B83,Productos!$A:$A,0)),0))</f>
        <v>1200</v>
      </c>
      <c r="H83" s="120">
        <f t="shared" si="4"/>
        <v>1200</v>
      </c>
      <c r="I83" s="120">
        <f t="shared" si="5"/>
        <v>600</v>
      </c>
      <c r="J83" s="106" t="s">
        <v>106</v>
      </c>
      <c r="K83" s="106" t="s">
        <v>78</v>
      </c>
      <c r="L83" s="119" t="str">
        <f>IF($B83="","",IFERROR(INDEX(Productos!$C:$C,MATCH($B83,Productos!$A:$A,0)),""))</f>
        <v>Bebidas</v>
      </c>
    </row>
    <row r="84" spans="1:12" ht="15" customHeight="1" x14ac:dyDescent="0.3">
      <c r="A84" s="105">
        <v>46210</v>
      </c>
      <c r="B84" s="106" t="s">
        <v>141</v>
      </c>
      <c r="C84" s="119" t="str">
        <f>IF($B84="","",IFERROR(INDEX(Productos!$B:$B,MATCH($B84,Productos!$A:$A,0)),""))</f>
        <v>Cerveza lata 330 ml</v>
      </c>
      <c r="D84" s="107">
        <v>2</v>
      </c>
      <c r="E84" s="120">
        <f>IF($B84="","",IFERROR(INDEX(Productos!$F:$F,MATCH($B84,Productos!$A:$A,0)),0))</f>
        <v>3800</v>
      </c>
      <c r="F84" s="120">
        <f t="shared" si="3"/>
        <v>7600</v>
      </c>
      <c r="G84" s="120">
        <f>IF($B84="","",IFERROR(INDEX(Productos!$E:$E,MATCH($B84,Productos!$A:$A,0)),0))</f>
        <v>2600</v>
      </c>
      <c r="H84" s="120">
        <f t="shared" si="4"/>
        <v>5200</v>
      </c>
      <c r="I84" s="120">
        <f t="shared" si="5"/>
        <v>2400</v>
      </c>
      <c r="J84" s="106" t="s">
        <v>104</v>
      </c>
      <c r="K84" s="106" t="s">
        <v>81</v>
      </c>
      <c r="L84" s="119" t="str">
        <f>IF($B84="","",IFERROR(INDEX(Productos!$C:$C,MATCH($B84,Productos!$A:$A,0)),""))</f>
        <v>Bebidas</v>
      </c>
    </row>
    <row r="85" spans="1:12" ht="15" customHeight="1" x14ac:dyDescent="0.3">
      <c r="A85" s="105">
        <v>46210</v>
      </c>
      <c r="B85" s="106" t="s">
        <v>143</v>
      </c>
      <c r="C85" s="119" t="str">
        <f>IF($B85="","",IFERROR(INDEX(Productos!$B:$B,MATCH($B85,Productos!$A:$A,0)),""))</f>
        <v>Pan tajado 500 g</v>
      </c>
      <c r="D85" s="107">
        <v>1</v>
      </c>
      <c r="E85" s="120">
        <f>IF($B85="","",IFERROR(INDEX(Productos!$F:$F,MATCH($B85,Productos!$A:$A,0)),0))</f>
        <v>5200</v>
      </c>
      <c r="F85" s="120">
        <f t="shared" si="3"/>
        <v>5200</v>
      </c>
      <c r="G85" s="120">
        <f>IF($B85="","",IFERROR(INDEX(Productos!$E:$E,MATCH($B85,Productos!$A:$A,0)),0))</f>
        <v>3900</v>
      </c>
      <c r="H85" s="120">
        <f t="shared" si="4"/>
        <v>3900</v>
      </c>
      <c r="I85" s="120">
        <f t="shared" si="5"/>
        <v>1300</v>
      </c>
      <c r="J85" s="106" t="s">
        <v>102</v>
      </c>
      <c r="K85" s="106" t="s">
        <v>80</v>
      </c>
      <c r="L85" s="119" t="str">
        <f>IF($B85="","",IFERROR(INDEX(Productos!$C:$C,MATCH($B85,Productos!$A:$A,0)),""))</f>
        <v>Panadería</v>
      </c>
    </row>
    <row r="86" spans="1:12" ht="15" customHeight="1" x14ac:dyDescent="0.3">
      <c r="A86" s="105">
        <v>46210</v>
      </c>
      <c r="B86" s="106" t="s">
        <v>146</v>
      </c>
      <c r="C86" s="119" t="str">
        <f>IF($B86="","",IFERROR(INDEX(Productos!$B:$B,MATCH($B86,Productos!$A:$A,0)),""))</f>
        <v>Galletas surtidas</v>
      </c>
      <c r="D86" s="107">
        <v>1</v>
      </c>
      <c r="E86" s="120">
        <f>IF($B86="","",IFERROR(INDEX(Productos!$F:$F,MATCH($B86,Productos!$A:$A,0)),0))</f>
        <v>2700</v>
      </c>
      <c r="F86" s="120">
        <f t="shared" si="3"/>
        <v>2700</v>
      </c>
      <c r="G86" s="120">
        <f>IF($B86="","",IFERROR(INDEX(Productos!$E:$E,MATCH($B86,Productos!$A:$A,0)),0))</f>
        <v>1800</v>
      </c>
      <c r="H86" s="120">
        <f t="shared" si="4"/>
        <v>1800</v>
      </c>
      <c r="I86" s="120">
        <f t="shared" si="5"/>
        <v>900</v>
      </c>
      <c r="J86" s="106" t="s">
        <v>104</v>
      </c>
      <c r="K86" s="106" t="s">
        <v>80</v>
      </c>
      <c r="L86" s="119" t="str">
        <f>IF($B86="","",IFERROR(INDEX(Productos!$C:$C,MATCH($B86,Productos!$A:$A,0)),""))</f>
        <v>Snacks</v>
      </c>
    </row>
    <row r="87" spans="1:12" ht="15" customHeight="1" x14ac:dyDescent="0.3">
      <c r="A87" s="105">
        <v>46210</v>
      </c>
      <c r="B87" s="106" t="s">
        <v>149</v>
      </c>
      <c r="C87" s="119" t="str">
        <f>IF($B87="","",IFERROR(INDEX(Productos!$B:$B,MATCH($B87,Productos!$A:$A,0)),""))</f>
        <v>Papas fritas 105 g</v>
      </c>
      <c r="D87" s="107">
        <v>2</v>
      </c>
      <c r="E87" s="120">
        <f>IF($B87="","",IFERROR(INDEX(Productos!$F:$F,MATCH($B87,Productos!$A:$A,0)),0))</f>
        <v>4800</v>
      </c>
      <c r="F87" s="120">
        <f t="shared" si="3"/>
        <v>9600</v>
      </c>
      <c r="G87" s="120">
        <f>IF($B87="","",IFERROR(INDEX(Productos!$E:$E,MATCH($B87,Productos!$A:$A,0)),0))</f>
        <v>3200</v>
      </c>
      <c r="H87" s="120">
        <f t="shared" si="4"/>
        <v>6400</v>
      </c>
      <c r="I87" s="120">
        <f t="shared" si="5"/>
        <v>3200</v>
      </c>
      <c r="J87" s="106" t="s">
        <v>102</v>
      </c>
      <c r="K87" s="106" t="s">
        <v>78</v>
      </c>
      <c r="L87" s="119" t="str">
        <f>IF($B87="","",IFERROR(INDEX(Productos!$C:$C,MATCH($B87,Productos!$A:$A,0)),""))</f>
        <v>Snacks</v>
      </c>
    </row>
    <row r="88" spans="1:12" ht="15" customHeight="1" x14ac:dyDescent="0.3">
      <c r="A88" s="105">
        <v>46210</v>
      </c>
      <c r="B88" s="106" t="s">
        <v>156</v>
      </c>
      <c r="C88" s="119" t="str">
        <f>IF($B88="","",IFERROR(INDEX(Productos!$B:$B,MATCH($B88,Productos!$A:$A,0)),""))</f>
        <v>Papel higiénico x 4</v>
      </c>
      <c r="D88" s="107">
        <v>4</v>
      </c>
      <c r="E88" s="120">
        <f>IF($B88="","",IFERROR(INDEX(Productos!$F:$F,MATCH($B88,Productos!$A:$A,0)),0))</f>
        <v>7800</v>
      </c>
      <c r="F88" s="120">
        <f t="shared" si="3"/>
        <v>31200</v>
      </c>
      <c r="G88" s="120">
        <f>IF($B88="","",IFERROR(INDEX(Productos!$E:$E,MATCH($B88,Productos!$A:$A,0)),0))</f>
        <v>5600</v>
      </c>
      <c r="H88" s="120">
        <f t="shared" si="4"/>
        <v>22400</v>
      </c>
      <c r="I88" s="120">
        <f t="shared" si="5"/>
        <v>8800</v>
      </c>
      <c r="J88" s="106" t="s">
        <v>104</v>
      </c>
      <c r="K88" s="106" t="s">
        <v>78</v>
      </c>
      <c r="L88" s="119" t="str">
        <f>IF($B88="","",IFERROR(INDEX(Productos!$C:$C,MATCH($B88,Productos!$A:$A,0)),""))</f>
        <v>Aseo hogar</v>
      </c>
    </row>
    <row r="89" spans="1:12" ht="15" customHeight="1" x14ac:dyDescent="0.3">
      <c r="A89" s="105">
        <v>46210</v>
      </c>
      <c r="B89" s="106" t="s">
        <v>158</v>
      </c>
      <c r="C89" s="119" t="str">
        <f>IF($B89="","",IFERROR(INDEX(Productos!$B:$B,MATCH($B89,Productos!$A:$A,0)),""))</f>
        <v>Huevos AA x 12</v>
      </c>
      <c r="D89" s="107">
        <v>4</v>
      </c>
      <c r="E89" s="120">
        <f>IF($B89="","",IFERROR(INDEX(Productos!$F:$F,MATCH($B89,Productos!$A:$A,0)),0))</f>
        <v>12000</v>
      </c>
      <c r="F89" s="120">
        <f t="shared" si="3"/>
        <v>48000</v>
      </c>
      <c r="G89" s="120">
        <f>IF($B89="","",IFERROR(INDEX(Productos!$E:$E,MATCH($B89,Productos!$A:$A,0)),0))</f>
        <v>9200</v>
      </c>
      <c r="H89" s="120">
        <f t="shared" si="4"/>
        <v>36800</v>
      </c>
      <c r="I89" s="120">
        <f t="shared" si="5"/>
        <v>11200</v>
      </c>
      <c r="J89" s="106" t="s">
        <v>102</v>
      </c>
      <c r="K89" s="106" t="s">
        <v>79</v>
      </c>
      <c r="L89" s="119" t="str">
        <f>IF($B89="","",IFERROR(INDEX(Productos!$C:$C,MATCH($B89,Productos!$A:$A,0)),""))</f>
        <v>Perecederos</v>
      </c>
    </row>
    <row r="90" spans="1:12" ht="15" customHeight="1" x14ac:dyDescent="0.3">
      <c r="A90" s="105">
        <v>46211</v>
      </c>
      <c r="B90" s="106" t="s">
        <v>121</v>
      </c>
      <c r="C90" s="119" t="str">
        <f>IF($B90="","",IFERROR(INDEX(Productos!$B:$B,MATCH($B90,Productos!$A:$A,0)),""))</f>
        <v>Arroz x 500 g</v>
      </c>
      <c r="D90" s="107">
        <v>2</v>
      </c>
      <c r="E90" s="120">
        <f>IF($B90="","",IFERROR(INDEX(Productos!$F:$F,MATCH($B90,Productos!$A:$A,0)),0))</f>
        <v>2600</v>
      </c>
      <c r="F90" s="120">
        <f t="shared" si="3"/>
        <v>5200</v>
      </c>
      <c r="G90" s="120">
        <f>IF($B90="","",IFERROR(INDEX(Productos!$E:$E,MATCH($B90,Productos!$A:$A,0)),0))</f>
        <v>1850</v>
      </c>
      <c r="H90" s="120">
        <f t="shared" si="4"/>
        <v>3700</v>
      </c>
      <c r="I90" s="120">
        <f t="shared" si="5"/>
        <v>1500</v>
      </c>
      <c r="J90" s="106" t="s">
        <v>108</v>
      </c>
      <c r="K90" s="106" t="s">
        <v>79</v>
      </c>
      <c r="L90" s="119" t="str">
        <f>IF($B90="","",IFERROR(INDEX(Productos!$C:$C,MATCH($B90,Productos!$A:$A,0)),""))</f>
        <v>Granos y abarrotes</v>
      </c>
    </row>
    <row r="91" spans="1:12" ht="15" customHeight="1" x14ac:dyDescent="0.3">
      <c r="A91" s="105">
        <v>46211</v>
      </c>
      <c r="B91" s="106" t="s">
        <v>124</v>
      </c>
      <c r="C91" s="119" t="str">
        <f>IF($B91="","",IFERROR(INDEX(Productos!$B:$B,MATCH($B91,Productos!$A:$A,0)),""))</f>
        <v>Aceite girasol 1 L</v>
      </c>
      <c r="D91" s="107">
        <v>1</v>
      </c>
      <c r="E91" s="120">
        <f>IF($B91="","",IFERROR(INDEX(Productos!$F:$F,MATCH($B91,Productos!$A:$A,0)),0))</f>
        <v>9500</v>
      </c>
      <c r="F91" s="120">
        <f t="shared" si="3"/>
        <v>9500</v>
      </c>
      <c r="G91" s="120">
        <f>IF($B91="","",IFERROR(INDEX(Productos!$E:$E,MATCH($B91,Productos!$A:$A,0)),0))</f>
        <v>7200</v>
      </c>
      <c r="H91" s="120">
        <f t="shared" si="4"/>
        <v>7200</v>
      </c>
      <c r="I91" s="120">
        <f t="shared" si="5"/>
        <v>2300</v>
      </c>
      <c r="J91" s="106" t="s">
        <v>104</v>
      </c>
      <c r="K91" s="106" t="s">
        <v>78</v>
      </c>
      <c r="L91" s="119" t="str">
        <f>IF($B91="","",IFERROR(INDEX(Productos!$C:$C,MATCH($B91,Productos!$A:$A,0)),""))</f>
        <v>Granos y abarrotes</v>
      </c>
    </row>
    <row r="92" spans="1:12" ht="15" customHeight="1" x14ac:dyDescent="0.3">
      <c r="A92" s="105">
        <v>46211</v>
      </c>
      <c r="B92" s="106" t="s">
        <v>129</v>
      </c>
      <c r="C92" s="119" t="str">
        <f>IF($B92="","",IFERROR(INDEX(Productos!$B:$B,MATCH($B92,Productos!$A:$A,0)),""))</f>
        <v>Leche entera 1 L</v>
      </c>
      <c r="D92" s="107">
        <v>1</v>
      </c>
      <c r="E92" s="120">
        <f>IF($B92="","",IFERROR(INDEX(Productos!$F:$F,MATCH($B92,Productos!$A:$A,0)),0))</f>
        <v>3900</v>
      </c>
      <c r="F92" s="120">
        <f t="shared" si="3"/>
        <v>3900</v>
      </c>
      <c r="G92" s="120">
        <f>IF($B92="","",IFERROR(INDEX(Productos!$E:$E,MATCH($B92,Productos!$A:$A,0)),0))</f>
        <v>3100</v>
      </c>
      <c r="H92" s="120">
        <f t="shared" si="4"/>
        <v>3100</v>
      </c>
      <c r="I92" s="120">
        <f t="shared" si="5"/>
        <v>800</v>
      </c>
      <c r="J92" s="106" t="s">
        <v>106</v>
      </c>
      <c r="K92" s="106" t="s">
        <v>81</v>
      </c>
      <c r="L92" s="119" t="str">
        <f>IF($B92="","",IFERROR(INDEX(Productos!$C:$C,MATCH($B92,Productos!$A:$A,0)),""))</f>
        <v>Lácteos</v>
      </c>
    </row>
    <row r="93" spans="1:12" ht="15" customHeight="1" x14ac:dyDescent="0.3">
      <c r="A93" s="105">
        <v>46211</v>
      </c>
      <c r="B93" s="106" t="s">
        <v>136</v>
      </c>
      <c r="C93" s="119" t="str">
        <f>IF($B93="","",IFERROR(INDEX(Productos!$B:$B,MATCH($B93,Productos!$A:$A,0)),""))</f>
        <v>Gaseosa 1,5 L</v>
      </c>
      <c r="D93" s="107">
        <v>2</v>
      </c>
      <c r="E93" s="120">
        <f>IF($B93="","",IFERROR(INDEX(Productos!$F:$F,MATCH($B93,Productos!$A:$A,0)),0))</f>
        <v>4500</v>
      </c>
      <c r="F93" s="120">
        <f t="shared" si="3"/>
        <v>9000</v>
      </c>
      <c r="G93" s="120">
        <f>IF($B93="","",IFERROR(INDEX(Productos!$E:$E,MATCH($B93,Productos!$A:$A,0)),0))</f>
        <v>3400</v>
      </c>
      <c r="H93" s="120">
        <f t="shared" si="4"/>
        <v>6800</v>
      </c>
      <c r="I93" s="120">
        <f t="shared" si="5"/>
        <v>2200</v>
      </c>
      <c r="J93" s="106" t="s">
        <v>106</v>
      </c>
      <c r="K93" s="106" t="s">
        <v>78</v>
      </c>
      <c r="L93" s="119" t="str">
        <f>IF($B93="","",IFERROR(INDEX(Productos!$C:$C,MATCH($B93,Productos!$A:$A,0)),""))</f>
        <v>Bebidas</v>
      </c>
    </row>
    <row r="94" spans="1:12" ht="15" customHeight="1" x14ac:dyDescent="0.3">
      <c r="A94" s="105">
        <v>46211</v>
      </c>
      <c r="B94" s="106" t="s">
        <v>139</v>
      </c>
      <c r="C94" s="119" t="str">
        <f>IF($B94="","",IFERROR(INDEX(Productos!$B:$B,MATCH($B94,Productos!$A:$A,0)),""))</f>
        <v>Agua 600 ml</v>
      </c>
      <c r="D94" s="107">
        <v>1</v>
      </c>
      <c r="E94" s="120">
        <f>IF($B94="","",IFERROR(INDEX(Productos!$F:$F,MATCH($B94,Productos!$A:$A,0)),0))</f>
        <v>1800</v>
      </c>
      <c r="F94" s="120">
        <f t="shared" si="3"/>
        <v>1800</v>
      </c>
      <c r="G94" s="120">
        <f>IF($B94="","",IFERROR(INDEX(Productos!$E:$E,MATCH($B94,Productos!$A:$A,0)),0))</f>
        <v>1200</v>
      </c>
      <c r="H94" s="120">
        <f t="shared" si="4"/>
        <v>1200</v>
      </c>
      <c r="I94" s="120">
        <f t="shared" si="5"/>
        <v>600</v>
      </c>
      <c r="J94" s="106" t="s">
        <v>104</v>
      </c>
      <c r="K94" s="106" t="s">
        <v>80</v>
      </c>
      <c r="L94" s="119" t="str">
        <f>IF($B94="","",IFERROR(INDEX(Productos!$C:$C,MATCH($B94,Productos!$A:$A,0)),""))</f>
        <v>Bebidas</v>
      </c>
    </row>
    <row r="95" spans="1:12" ht="15" customHeight="1" x14ac:dyDescent="0.3">
      <c r="A95" s="105">
        <v>46211</v>
      </c>
      <c r="B95" s="106" t="s">
        <v>141</v>
      </c>
      <c r="C95" s="119" t="str">
        <f>IF($B95="","",IFERROR(INDEX(Productos!$B:$B,MATCH($B95,Productos!$A:$A,0)),""))</f>
        <v>Cerveza lata 330 ml</v>
      </c>
      <c r="D95" s="107">
        <v>4</v>
      </c>
      <c r="E95" s="120">
        <f>IF($B95="","",IFERROR(INDEX(Productos!$F:$F,MATCH($B95,Productos!$A:$A,0)),0))</f>
        <v>3800</v>
      </c>
      <c r="F95" s="120">
        <f t="shared" si="3"/>
        <v>15200</v>
      </c>
      <c r="G95" s="120">
        <f>IF($B95="","",IFERROR(INDEX(Productos!$E:$E,MATCH($B95,Productos!$A:$A,0)),0))</f>
        <v>2600</v>
      </c>
      <c r="H95" s="120">
        <f t="shared" si="4"/>
        <v>10400</v>
      </c>
      <c r="I95" s="120">
        <f t="shared" si="5"/>
        <v>4800</v>
      </c>
      <c r="J95" s="106" t="s">
        <v>106</v>
      </c>
      <c r="K95" s="106" t="s">
        <v>80</v>
      </c>
      <c r="L95" s="119" t="str">
        <f>IF($B95="","",IFERROR(INDEX(Productos!$C:$C,MATCH($B95,Productos!$A:$A,0)),""))</f>
        <v>Bebidas</v>
      </c>
    </row>
    <row r="96" spans="1:12" ht="15" customHeight="1" x14ac:dyDescent="0.3">
      <c r="A96" s="105">
        <v>46211</v>
      </c>
      <c r="B96" s="106" t="s">
        <v>146</v>
      </c>
      <c r="C96" s="119" t="str">
        <f>IF($B96="","",IFERROR(INDEX(Productos!$B:$B,MATCH($B96,Productos!$A:$A,0)),""))</f>
        <v>Galletas surtidas</v>
      </c>
      <c r="D96" s="107">
        <v>2</v>
      </c>
      <c r="E96" s="120">
        <f>IF($B96="","",IFERROR(INDEX(Productos!$F:$F,MATCH($B96,Productos!$A:$A,0)),0))</f>
        <v>2700</v>
      </c>
      <c r="F96" s="120">
        <f t="shared" si="3"/>
        <v>5400</v>
      </c>
      <c r="G96" s="120">
        <f>IF($B96="","",IFERROR(INDEX(Productos!$E:$E,MATCH($B96,Productos!$A:$A,0)),0))</f>
        <v>1800</v>
      </c>
      <c r="H96" s="120">
        <f t="shared" si="4"/>
        <v>3600</v>
      </c>
      <c r="I96" s="120">
        <f t="shared" si="5"/>
        <v>1800</v>
      </c>
      <c r="J96" s="106" t="s">
        <v>108</v>
      </c>
      <c r="K96" s="106" t="s">
        <v>79</v>
      </c>
      <c r="L96" s="119" t="str">
        <f>IF($B96="","",IFERROR(INDEX(Productos!$C:$C,MATCH($B96,Productos!$A:$A,0)),""))</f>
        <v>Snacks</v>
      </c>
    </row>
    <row r="97" spans="1:12" ht="15" customHeight="1" x14ac:dyDescent="0.3">
      <c r="A97" s="105">
        <v>46211</v>
      </c>
      <c r="B97" s="106" t="s">
        <v>151</v>
      </c>
      <c r="C97" s="119" t="str">
        <f>IF($B97="","",IFERROR(INDEX(Productos!$B:$B,MATCH($B97,Productos!$A:$A,0)),""))</f>
        <v>Detergente 1 kg</v>
      </c>
      <c r="D97" s="107">
        <v>2</v>
      </c>
      <c r="E97" s="120">
        <f>IF($B97="","",IFERROR(INDEX(Productos!$F:$F,MATCH($B97,Productos!$A:$A,0)),0))</f>
        <v>9200</v>
      </c>
      <c r="F97" s="120">
        <f t="shared" si="3"/>
        <v>18400</v>
      </c>
      <c r="G97" s="120">
        <f>IF($B97="","",IFERROR(INDEX(Productos!$E:$E,MATCH($B97,Productos!$A:$A,0)),0))</f>
        <v>6800</v>
      </c>
      <c r="H97" s="120">
        <f t="shared" si="4"/>
        <v>13600</v>
      </c>
      <c r="I97" s="120">
        <f t="shared" si="5"/>
        <v>4800</v>
      </c>
      <c r="J97" s="106" t="s">
        <v>102</v>
      </c>
      <c r="K97" s="106" t="s">
        <v>78</v>
      </c>
      <c r="L97" s="119" t="str">
        <f>IF($B97="","",IFERROR(INDEX(Productos!$C:$C,MATCH($B97,Productos!$A:$A,0)),""))</f>
        <v>Aseo hogar</v>
      </c>
    </row>
    <row r="98" spans="1:12" ht="15" customHeight="1" x14ac:dyDescent="0.3">
      <c r="A98" s="105">
        <v>46211</v>
      </c>
      <c r="B98" s="106" t="s">
        <v>154</v>
      </c>
      <c r="C98" s="119" t="str">
        <f>IF($B98="","",IFERROR(INDEX(Productos!$B:$B,MATCH($B98,Productos!$A:$A,0)),""))</f>
        <v>Jabón de barra</v>
      </c>
      <c r="D98" s="107">
        <v>1</v>
      </c>
      <c r="E98" s="120">
        <f>IF($B98="","",IFERROR(INDEX(Productos!$F:$F,MATCH($B98,Productos!$A:$A,0)),0))</f>
        <v>2800</v>
      </c>
      <c r="F98" s="120">
        <f t="shared" si="3"/>
        <v>2800</v>
      </c>
      <c r="G98" s="120">
        <f>IF($B98="","",IFERROR(INDEX(Productos!$E:$E,MATCH($B98,Productos!$A:$A,0)),0))</f>
        <v>1900</v>
      </c>
      <c r="H98" s="120">
        <f t="shared" si="4"/>
        <v>1900</v>
      </c>
      <c r="I98" s="120">
        <f t="shared" si="5"/>
        <v>900</v>
      </c>
      <c r="J98" s="106" t="s">
        <v>102</v>
      </c>
      <c r="K98" s="106" t="s">
        <v>78</v>
      </c>
      <c r="L98" s="119" t="str">
        <f>IF($B98="","",IFERROR(INDEX(Productos!$C:$C,MATCH($B98,Productos!$A:$A,0)),""))</f>
        <v>Aseo personal</v>
      </c>
    </row>
    <row r="99" spans="1:12" ht="15" customHeight="1" x14ac:dyDescent="0.3">
      <c r="A99" s="105">
        <v>46211</v>
      </c>
      <c r="B99" s="106" t="s">
        <v>156</v>
      </c>
      <c r="C99" s="119" t="str">
        <f>IF($B99="","",IFERROR(INDEX(Productos!$B:$B,MATCH($B99,Productos!$A:$A,0)),""))</f>
        <v>Papel higiénico x 4</v>
      </c>
      <c r="D99" s="107">
        <v>2</v>
      </c>
      <c r="E99" s="120">
        <f>IF($B99="","",IFERROR(INDEX(Productos!$F:$F,MATCH($B99,Productos!$A:$A,0)),0))</f>
        <v>7800</v>
      </c>
      <c r="F99" s="120">
        <f t="shared" si="3"/>
        <v>15600</v>
      </c>
      <c r="G99" s="120">
        <f>IF($B99="","",IFERROR(INDEX(Productos!$E:$E,MATCH($B99,Productos!$A:$A,0)),0))</f>
        <v>5600</v>
      </c>
      <c r="H99" s="120">
        <f t="shared" si="4"/>
        <v>11200</v>
      </c>
      <c r="I99" s="120">
        <f t="shared" si="5"/>
        <v>4400</v>
      </c>
      <c r="J99" s="106" t="s">
        <v>104</v>
      </c>
      <c r="K99" s="106" t="s">
        <v>79</v>
      </c>
      <c r="L99" s="119" t="str">
        <f>IF($B99="","",IFERROR(INDEX(Productos!$C:$C,MATCH($B99,Productos!$A:$A,0)),""))</f>
        <v>Aseo hogar</v>
      </c>
    </row>
    <row r="100" spans="1:12" ht="15" customHeight="1" x14ac:dyDescent="0.3">
      <c r="A100" s="105">
        <v>46211</v>
      </c>
      <c r="B100" s="106" t="s">
        <v>163</v>
      </c>
      <c r="C100" s="119" t="str">
        <f>IF($B100="","",IFERROR(INDEX(Productos!$B:$B,MATCH($B100,Productos!$A:$A,0)),""))</f>
        <v>Tomate kg</v>
      </c>
      <c r="D100" s="107">
        <v>2</v>
      </c>
      <c r="E100" s="120">
        <f>IF($B100="","",IFERROR(INDEX(Productos!$F:$F,MATCH($B100,Productos!$A:$A,0)),0))</f>
        <v>4200</v>
      </c>
      <c r="F100" s="120">
        <f t="shared" si="3"/>
        <v>8400</v>
      </c>
      <c r="G100" s="120">
        <f>IF($B100="","",IFERROR(INDEX(Productos!$E:$E,MATCH($B100,Productos!$A:$A,0)),0))</f>
        <v>2800</v>
      </c>
      <c r="H100" s="120">
        <f t="shared" si="4"/>
        <v>5600</v>
      </c>
      <c r="I100" s="120">
        <f t="shared" si="5"/>
        <v>2800</v>
      </c>
      <c r="J100" s="106" t="s">
        <v>106</v>
      </c>
      <c r="K100" s="106" t="s">
        <v>78</v>
      </c>
      <c r="L100" s="119" t="str">
        <f>IF($B100="","",IFERROR(INDEX(Productos!$C:$C,MATCH($B100,Productos!$A:$A,0)),""))</f>
        <v>Frutas y verduras</v>
      </c>
    </row>
    <row r="101" spans="1:12" ht="15" customHeight="1" x14ac:dyDescent="0.3">
      <c r="A101" s="105">
        <v>46211</v>
      </c>
      <c r="B101" s="106" t="s">
        <v>166</v>
      </c>
      <c r="C101" s="119" t="str">
        <f>IF($B101="","",IFERROR(INDEX(Productos!$B:$B,MATCH($B101,Productos!$A:$A,0)),""))</f>
        <v>Papa kg</v>
      </c>
      <c r="D101" s="107">
        <v>1</v>
      </c>
      <c r="E101" s="120">
        <f>IF($B101="","",IFERROR(INDEX(Productos!$F:$F,MATCH($B101,Productos!$A:$A,0)),0))</f>
        <v>2800</v>
      </c>
      <c r="F101" s="120">
        <f t="shared" si="3"/>
        <v>2800</v>
      </c>
      <c r="G101" s="120">
        <f>IF($B101="","",IFERROR(INDEX(Productos!$E:$E,MATCH($B101,Productos!$A:$A,0)),0))</f>
        <v>1900</v>
      </c>
      <c r="H101" s="120">
        <f t="shared" si="4"/>
        <v>1900</v>
      </c>
      <c r="I101" s="120">
        <f t="shared" si="5"/>
        <v>900</v>
      </c>
      <c r="J101" s="106" t="s">
        <v>102</v>
      </c>
      <c r="K101" s="106" t="s">
        <v>78</v>
      </c>
      <c r="L101" s="119" t="str">
        <f>IF($B101="","",IFERROR(INDEX(Productos!$C:$C,MATCH($B101,Productos!$A:$A,0)),""))</f>
        <v>Frutas y verduras</v>
      </c>
    </row>
    <row r="102" spans="1:12" ht="15" customHeight="1" x14ac:dyDescent="0.3">
      <c r="A102" s="105">
        <v>46211</v>
      </c>
      <c r="B102" s="106" t="s">
        <v>168</v>
      </c>
      <c r="C102" s="119" t="str">
        <f>IF($B102="","",IFERROR(INDEX(Productos!$B:$B,MATCH($B102,Productos!$A:$A,0)),""))</f>
        <v>Banano kg</v>
      </c>
      <c r="D102" s="107">
        <v>1</v>
      </c>
      <c r="E102" s="120">
        <f>IF($B102="","",IFERROR(INDEX(Productos!$F:$F,MATCH($B102,Productos!$A:$A,0)),0))</f>
        <v>3400</v>
      </c>
      <c r="F102" s="120">
        <f t="shared" si="3"/>
        <v>3400</v>
      </c>
      <c r="G102" s="120">
        <f>IF($B102="","",IFERROR(INDEX(Productos!$E:$E,MATCH($B102,Productos!$A:$A,0)),0))</f>
        <v>2200</v>
      </c>
      <c r="H102" s="120">
        <f t="shared" si="4"/>
        <v>2200</v>
      </c>
      <c r="I102" s="120">
        <f t="shared" si="5"/>
        <v>1200</v>
      </c>
      <c r="J102" s="106" t="s">
        <v>104</v>
      </c>
      <c r="K102" s="106" t="s">
        <v>78</v>
      </c>
      <c r="L102" s="119" t="str">
        <f>IF($B102="","",IFERROR(INDEX(Productos!$C:$C,MATCH($B102,Productos!$A:$A,0)),""))</f>
        <v>Frutas y verduras</v>
      </c>
    </row>
    <row r="103" spans="1:12" ht="15" customHeight="1" x14ac:dyDescent="0.3">
      <c r="A103" s="105">
        <v>46212</v>
      </c>
      <c r="B103" s="106" t="s">
        <v>121</v>
      </c>
      <c r="C103" s="119" t="str">
        <f>IF($B103="","",IFERROR(INDEX(Productos!$B:$B,MATCH($B103,Productos!$A:$A,0)),""))</f>
        <v>Arroz x 500 g</v>
      </c>
      <c r="D103" s="107">
        <v>3</v>
      </c>
      <c r="E103" s="120">
        <f>IF($B103="","",IFERROR(INDEX(Productos!$F:$F,MATCH($B103,Productos!$A:$A,0)),0))</f>
        <v>2600</v>
      </c>
      <c r="F103" s="120">
        <f t="shared" si="3"/>
        <v>7800</v>
      </c>
      <c r="G103" s="120">
        <f>IF($B103="","",IFERROR(INDEX(Productos!$E:$E,MATCH($B103,Productos!$A:$A,0)),0))</f>
        <v>1850</v>
      </c>
      <c r="H103" s="120">
        <f t="shared" si="4"/>
        <v>5550</v>
      </c>
      <c r="I103" s="120">
        <f t="shared" si="5"/>
        <v>2250</v>
      </c>
      <c r="J103" s="106" t="s">
        <v>106</v>
      </c>
      <c r="K103" s="106" t="s">
        <v>78</v>
      </c>
      <c r="L103" s="119" t="str">
        <f>IF($B103="","",IFERROR(INDEX(Productos!$C:$C,MATCH($B103,Productos!$A:$A,0)),""))</f>
        <v>Granos y abarrotes</v>
      </c>
    </row>
    <row r="104" spans="1:12" ht="15" customHeight="1" x14ac:dyDescent="0.3">
      <c r="A104" s="105">
        <v>46212</v>
      </c>
      <c r="B104" s="106" t="s">
        <v>132</v>
      </c>
      <c r="C104" s="119" t="str">
        <f>IF($B104="","",IFERROR(INDEX(Productos!$B:$B,MATCH($B104,Productos!$A:$A,0)),""))</f>
        <v>Queso campesino 500 g</v>
      </c>
      <c r="D104" s="107">
        <v>4</v>
      </c>
      <c r="E104" s="120">
        <f>IF($B104="","",IFERROR(INDEX(Productos!$F:$F,MATCH($B104,Productos!$A:$A,0)),0))</f>
        <v>13500</v>
      </c>
      <c r="F104" s="120">
        <f t="shared" si="3"/>
        <v>54000</v>
      </c>
      <c r="G104" s="120">
        <f>IF($B104="","",IFERROR(INDEX(Productos!$E:$E,MATCH($B104,Productos!$A:$A,0)),0))</f>
        <v>9800</v>
      </c>
      <c r="H104" s="120">
        <f t="shared" si="4"/>
        <v>39200</v>
      </c>
      <c r="I104" s="120">
        <f t="shared" si="5"/>
        <v>14800</v>
      </c>
      <c r="J104" s="106" t="s">
        <v>104</v>
      </c>
      <c r="K104" s="106" t="s">
        <v>78</v>
      </c>
      <c r="L104" s="119" t="str">
        <f>IF($B104="","",IFERROR(INDEX(Productos!$C:$C,MATCH($B104,Productos!$A:$A,0)),""))</f>
        <v>Lácteos</v>
      </c>
    </row>
    <row r="105" spans="1:12" ht="15" customHeight="1" x14ac:dyDescent="0.3">
      <c r="A105" s="105">
        <v>46212</v>
      </c>
      <c r="B105" s="106" t="s">
        <v>134</v>
      </c>
      <c r="C105" s="119" t="str">
        <f>IF($B105="","",IFERROR(INDEX(Productos!$B:$B,MATCH($B105,Productos!$A:$A,0)),""))</f>
        <v>Yogur 1 L</v>
      </c>
      <c r="D105" s="107">
        <v>1</v>
      </c>
      <c r="E105" s="120">
        <f>IF($B105="","",IFERROR(INDEX(Productos!$F:$F,MATCH($B105,Productos!$A:$A,0)),0))</f>
        <v>7200</v>
      </c>
      <c r="F105" s="120">
        <f t="shared" si="3"/>
        <v>7200</v>
      </c>
      <c r="G105" s="120">
        <f>IF($B105="","",IFERROR(INDEX(Productos!$E:$E,MATCH($B105,Productos!$A:$A,0)),0))</f>
        <v>5400</v>
      </c>
      <c r="H105" s="120">
        <f t="shared" si="4"/>
        <v>5400</v>
      </c>
      <c r="I105" s="120">
        <f t="shared" si="5"/>
        <v>1800</v>
      </c>
      <c r="J105" s="106" t="s">
        <v>102</v>
      </c>
      <c r="K105" s="106" t="s">
        <v>79</v>
      </c>
      <c r="L105" s="119" t="str">
        <f>IF($B105="","",IFERROR(INDEX(Productos!$C:$C,MATCH($B105,Productos!$A:$A,0)),""))</f>
        <v>Lácteos</v>
      </c>
    </row>
    <row r="106" spans="1:12" ht="15" customHeight="1" x14ac:dyDescent="0.3">
      <c r="A106" s="105">
        <v>46212</v>
      </c>
      <c r="B106" s="106" t="s">
        <v>139</v>
      </c>
      <c r="C106" s="119" t="str">
        <f>IF($B106="","",IFERROR(INDEX(Productos!$B:$B,MATCH($B106,Productos!$A:$A,0)),""))</f>
        <v>Agua 600 ml</v>
      </c>
      <c r="D106" s="107">
        <v>1</v>
      </c>
      <c r="E106" s="120">
        <f>IF($B106="","",IFERROR(INDEX(Productos!$F:$F,MATCH($B106,Productos!$A:$A,0)),0))</f>
        <v>1800</v>
      </c>
      <c r="F106" s="120">
        <f t="shared" si="3"/>
        <v>1800</v>
      </c>
      <c r="G106" s="120">
        <f>IF($B106="","",IFERROR(INDEX(Productos!$E:$E,MATCH($B106,Productos!$A:$A,0)),0))</f>
        <v>1200</v>
      </c>
      <c r="H106" s="120">
        <f t="shared" si="4"/>
        <v>1200</v>
      </c>
      <c r="I106" s="120">
        <f t="shared" si="5"/>
        <v>600</v>
      </c>
      <c r="J106" s="106" t="s">
        <v>108</v>
      </c>
      <c r="K106" s="106" t="s">
        <v>78</v>
      </c>
      <c r="L106" s="119" t="str">
        <f>IF($B106="","",IFERROR(INDEX(Productos!$C:$C,MATCH($B106,Productos!$A:$A,0)),""))</f>
        <v>Bebidas</v>
      </c>
    </row>
    <row r="107" spans="1:12" ht="15" customHeight="1" x14ac:dyDescent="0.3">
      <c r="A107" s="105">
        <v>46212</v>
      </c>
      <c r="B107" s="106" t="s">
        <v>146</v>
      </c>
      <c r="C107" s="119" t="str">
        <f>IF($B107="","",IFERROR(INDEX(Productos!$B:$B,MATCH($B107,Productos!$A:$A,0)),""))</f>
        <v>Galletas surtidas</v>
      </c>
      <c r="D107" s="107">
        <v>1</v>
      </c>
      <c r="E107" s="120">
        <f>IF($B107="","",IFERROR(INDEX(Productos!$F:$F,MATCH($B107,Productos!$A:$A,0)),0))</f>
        <v>2700</v>
      </c>
      <c r="F107" s="120">
        <f t="shared" si="3"/>
        <v>2700</v>
      </c>
      <c r="G107" s="120">
        <f>IF($B107="","",IFERROR(INDEX(Productos!$E:$E,MATCH($B107,Productos!$A:$A,0)),0))</f>
        <v>1800</v>
      </c>
      <c r="H107" s="120">
        <f t="shared" si="4"/>
        <v>1800</v>
      </c>
      <c r="I107" s="120">
        <f t="shared" si="5"/>
        <v>900</v>
      </c>
      <c r="J107" s="106" t="s">
        <v>104</v>
      </c>
      <c r="K107" s="106" t="s">
        <v>78</v>
      </c>
      <c r="L107" s="119" t="str">
        <f>IF($B107="","",IFERROR(INDEX(Productos!$C:$C,MATCH($B107,Productos!$A:$A,0)),""))</f>
        <v>Snacks</v>
      </c>
    </row>
    <row r="108" spans="1:12" ht="15" customHeight="1" x14ac:dyDescent="0.3">
      <c r="A108" s="105">
        <v>46212</v>
      </c>
      <c r="B108" s="106" t="s">
        <v>156</v>
      </c>
      <c r="C108" s="119" t="str">
        <f>IF($B108="","",IFERROR(INDEX(Productos!$B:$B,MATCH($B108,Productos!$A:$A,0)),""))</f>
        <v>Papel higiénico x 4</v>
      </c>
      <c r="D108" s="107">
        <v>1</v>
      </c>
      <c r="E108" s="120">
        <f>IF($B108="","",IFERROR(INDEX(Productos!$F:$F,MATCH($B108,Productos!$A:$A,0)),0))</f>
        <v>7800</v>
      </c>
      <c r="F108" s="120">
        <f t="shared" si="3"/>
        <v>7800</v>
      </c>
      <c r="G108" s="120">
        <f>IF($B108="","",IFERROR(INDEX(Productos!$E:$E,MATCH($B108,Productos!$A:$A,0)),0))</f>
        <v>5600</v>
      </c>
      <c r="H108" s="120">
        <f t="shared" si="4"/>
        <v>5600</v>
      </c>
      <c r="I108" s="120">
        <f t="shared" si="5"/>
        <v>2200</v>
      </c>
      <c r="J108" s="106" t="s">
        <v>104</v>
      </c>
      <c r="K108" s="106" t="s">
        <v>80</v>
      </c>
      <c r="L108" s="119" t="str">
        <f>IF($B108="","",IFERROR(INDEX(Productos!$C:$C,MATCH($B108,Productos!$A:$A,0)),""))</f>
        <v>Aseo hogar</v>
      </c>
    </row>
    <row r="109" spans="1:12" ht="15" customHeight="1" x14ac:dyDescent="0.3">
      <c r="A109" s="105">
        <v>46212</v>
      </c>
      <c r="B109" s="106" t="s">
        <v>163</v>
      </c>
      <c r="C109" s="119" t="str">
        <f>IF($B109="","",IFERROR(INDEX(Productos!$B:$B,MATCH($B109,Productos!$A:$A,0)),""))</f>
        <v>Tomate kg</v>
      </c>
      <c r="D109" s="107">
        <v>3</v>
      </c>
      <c r="E109" s="120">
        <f>IF($B109="","",IFERROR(INDEX(Productos!$F:$F,MATCH($B109,Productos!$A:$A,0)),0))</f>
        <v>4200</v>
      </c>
      <c r="F109" s="120">
        <f t="shared" si="3"/>
        <v>12600</v>
      </c>
      <c r="G109" s="120">
        <f>IF($B109="","",IFERROR(INDEX(Productos!$E:$E,MATCH($B109,Productos!$A:$A,0)),0))</f>
        <v>2800</v>
      </c>
      <c r="H109" s="120">
        <f t="shared" si="4"/>
        <v>8400</v>
      </c>
      <c r="I109" s="120">
        <f t="shared" si="5"/>
        <v>4200</v>
      </c>
      <c r="J109" s="106" t="s">
        <v>102</v>
      </c>
      <c r="K109" s="106" t="s">
        <v>78</v>
      </c>
      <c r="L109" s="119" t="str">
        <f>IF($B109="","",IFERROR(INDEX(Productos!$C:$C,MATCH($B109,Productos!$A:$A,0)),""))</f>
        <v>Frutas y verduras</v>
      </c>
    </row>
    <row r="110" spans="1:12" ht="15" customHeight="1" x14ac:dyDescent="0.3">
      <c r="A110" s="105">
        <v>46212</v>
      </c>
      <c r="B110" s="106" t="s">
        <v>166</v>
      </c>
      <c r="C110" s="119" t="str">
        <f>IF($B110="","",IFERROR(INDEX(Productos!$B:$B,MATCH($B110,Productos!$A:$A,0)),""))</f>
        <v>Papa kg</v>
      </c>
      <c r="D110" s="107">
        <v>1</v>
      </c>
      <c r="E110" s="120">
        <f>IF($B110="","",IFERROR(INDEX(Productos!$F:$F,MATCH($B110,Productos!$A:$A,0)),0))</f>
        <v>2800</v>
      </c>
      <c r="F110" s="120">
        <f t="shared" si="3"/>
        <v>2800</v>
      </c>
      <c r="G110" s="120">
        <f>IF($B110="","",IFERROR(INDEX(Productos!$E:$E,MATCH($B110,Productos!$A:$A,0)),0))</f>
        <v>1900</v>
      </c>
      <c r="H110" s="120">
        <f t="shared" si="4"/>
        <v>1900</v>
      </c>
      <c r="I110" s="120">
        <f t="shared" si="5"/>
        <v>900</v>
      </c>
      <c r="J110" s="106" t="s">
        <v>104</v>
      </c>
      <c r="K110" s="106" t="s">
        <v>80</v>
      </c>
      <c r="L110" s="119" t="str">
        <f>IF($B110="","",IFERROR(INDEX(Productos!$C:$C,MATCH($B110,Productos!$A:$A,0)),""))</f>
        <v>Frutas y verduras</v>
      </c>
    </row>
    <row r="111" spans="1:12" ht="15" customHeight="1" x14ac:dyDescent="0.3">
      <c r="A111" s="105">
        <v>46212</v>
      </c>
      <c r="B111" s="106" t="s">
        <v>168</v>
      </c>
      <c r="C111" s="119" t="str">
        <f>IF($B111="","",IFERROR(INDEX(Productos!$B:$B,MATCH($B111,Productos!$A:$A,0)),""))</f>
        <v>Banano kg</v>
      </c>
      <c r="D111" s="107">
        <v>1</v>
      </c>
      <c r="E111" s="120">
        <f>IF($B111="","",IFERROR(INDEX(Productos!$F:$F,MATCH($B111,Productos!$A:$A,0)),0))</f>
        <v>3400</v>
      </c>
      <c r="F111" s="120">
        <f t="shared" si="3"/>
        <v>3400</v>
      </c>
      <c r="G111" s="120">
        <f>IF($B111="","",IFERROR(INDEX(Productos!$E:$E,MATCH($B111,Productos!$A:$A,0)),0))</f>
        <v>2200</v>
      </c>
      <c r="H111" s="120">
        <f t="shared" si="4"/>
        <v>2200</v>
      </c>
      <c r="I111" s="120">
        <f t="shared" si="5"/>
        <v>1200</v>
      </c>
      <c r="J111" s="106" t="s">
        <v>106</v>
      </c>
      <c r="K111" s="106" t="s">
        <v>78</v>
      </c>
      <c r="L111" s="119" t="str">
        <f>IF($B111="","",IFERROR(INDEX(Productos!$C:$C,MATCH($B111,Productos!$A:$A,0)),""))</f>
        <v>Frutas y verduras</v>
      </c>
    </row>
    <row r="112" spans="1:12" ht="15" customHeight="1" x14ac:dyDescent="0.3">
      <c r="A112" s="105">
        <v>46213</v>
      </c>
      <c r="B112" s="106" t="s">
        <v>121</v>
      </c>
      <c r="C112" s="119" t="str">
        <f>IF($B112="","",IFERROR(INDEX(Productos!$B:$B,MATCH($B112,Productos!$A:$A,0)),""))</f>
        <v>Arroz x 500 g</v>
      </c>
      <c r="D112" s="107">
        <v>1</v>
      </c>
      <c r="E112" s="120">
        <f>IF($B112="","",IFERROR(INDEX(Productos!$F:$F,MATCH($B112,Productos!$A:$A,0)),0))</f>
        <v>2600</v>
      </c>
      <c r="F112" s="120">
        <f t="shared" si="3"/>
        <v>2600</v>
      </c>
      <c r="G112" s="120">
        <f>IF($B112="","",IFERROR(INDEX(Productos!$E:$E,MATCH($B112,Productos!$A:$A,0)),0))</f>
        <v>1850</v>
      </c>
      <c r="H112" s="120">
        <f t="shared" si="4"/>
        <v>1850</v>
      </c>
      <c r="I112" s="120">
        <f t="shared" si="5"/>
        <v>750</v>
      </c>
      <c r="J112" s="106" t="s">
        <v>108</v>
      </c>
      <c r="K112" s="106" t="s">
        <v>81</v>
      </c>
      <c r="L112" s="119" t="str">
        <f>IF($B112="","",IFERROR(INDEX(Productos!$C:$C,MATCH($B112,Productos!$A:$A,0)),""))</f>
        <v>Granos y abarrotes</v>
      </c>
    </row>
    <row r="113" spans="1:12" ht="15" customHeight="1" x14ac:dyDescent="0.3">
      <c r="A113" s="105">
        <v>46213</v>
      </c>
      <c r="B113" s="106" t="s">
        <v>129</v>
      </c>
      <c r="C113" s="119" t="str">
        <f>IF($B113="","",IFERROR(INDEX(Productos!$B:$B,MATCH($B113,Productos!$A:$A,0)),""))</f>
        <v>Leche entera 1 L</v>
      </c>
      <c r="D113" s="107">
        <v>1</v>
      </c>
      <c r="E113" s="120">
        <f>IF($B113="","",IFERROR(INDEX(Productos!$F:$F,MATCH($B113,Productos!$A:$A,0)),0))</f>
        <v>3900</v>
      </c>
      <c r="F113" s="120">
        <f t="shared" si="3"/>
        <v>3900</v>
      </c>
      <c r="G113" s="120">
        <f>IF($B113="","",IFERROR(INDEX(Productos!$E:$E,MATCH($B113,Productos!$A:$A,0)),0))</f>
        <v>3100</v>
      </c>
      <c r="H113" s="120">
        <f t="shared" si="4"/>
        <v>3100</v>
      </c>
      <c r="I113" s="120">
        <f t="shared" si="5"/>
        <v>800</v>
      </c>
      <c r="J113" s="106" t="s">
        <v>104</v>
      </c>
      <c r="K113" s="106" t="s">
        <v>80</v>
      </c>
      <c r="L113" s="119" t="str">
        <f>IF($B113="","",IFERROR(INDEX(Productos!$C:$C,MATCH($B113,Productos!$A:$A,0)),""))</f>
        <v>Lácteos</v>
      </c>
    </row>
    <row r="114" spans="1:12" ht="15" customHeight="1" x14ac:dyDescent="0.3">
      <c r="A114" s="105">
        <v>46213</v>
      </c>
      <c r="B114" s="106" t="s">
        <v>136</v>
      </c>
      <c r="C114" s="119" t="str">
        <f>IF($B114="","",IFERROR(INDEX(Productos!$B:$B,MATCH($B114,Productos!$A:$A,0)),""))</f>
        <v>Gaseosa 1,5 L</v>
      </c>
      <c r="D114" s="107">
        <v>3</v>
      </c>
      <c r="E114" s="120">
        <f>IF($B114="","",IFERROR(INDEX(Productos!$F:$F,MATCH($B114,Productos!$A:$A,0)),0))</f>
        <v>4500</v>
      </c>
      <c r="F114" s="120">
        <f t="shared" si="3"/>
        <v>13500</v>
      </c>
      <c r="G114" s="120">
        <f>IF($B114="","",IFERROR(INDEX(Productos!$E:$E,MATCH($B114,Productos!$A:$A,0)),0))</f>
        <v>3400</v>
      </c>
      <c r="H114" s="120">
        <f t="shared" si="4"/>
        <v>10200</v>
      </c>
      <c r="I114" s="120">
        <f t="shared" si="5"/>
        <v>3300</v>
      </c>
      <c r="J114" s="106" t="s">
        <v>106</v>
      </c>
      <c r="K114" s="106" t="s">
        <v>78</v>
      </c>
      <c r="L114" s="119" t="str">
        <f>IF($B114="","",IFERROR(INDEX(Productos!$C:$C,MATCH($B114,Productos!$A:$A,0)),""))</f>
        <v>Bebidas</v>
      </c>
    </row>
    <row r="115" spans="1:12" ht="15" customHeight="1" x14ac:dyDescent="0.3">
      <c r="A115" s="105">
        <v>46213</v>
      </c>
      <c r="B115" s="106" t="s">
        <v>139</v>
      </c>
      <c r="C115" s="119" t="str">
        <f>IF($B115="","",IFERROR(INDEX(Productos!$B:$B,MATCH($B115,Productos!$A:$A,0)),""))</f>
        <v>Agua 600 ml</v>
      </c>
      <c r="D115" s="107">
        <v>2</v>
      </c>
      <c r="E115" s="120">
        <f>IF($B115="","",IFERROR(INDEX(Productos!$F:$F,MATCH($B115,Productos!$A:$A,0)),0))</f>
        <v>1800</v>
      </c>
      <c r="F115" s="120">
        <f t="shared" si="3"/>
        <v>3600</v>
      </c>
      <c r="G115" s="120">
        <f>IF($B115="","",IFERROR(INDEX(Productos!$E:$E,MATCH($B115,Productos!$A:$A,0)),0))</f>
        <v>1200</v>
      </c>
      <c r="H115" s="120">
        <f t="shared" si="4"/>
        <v>2400</v>
      </c>
      <c r="I115" s="120">
        <f t="shared" si="5"/>
        <v>1200</v>
      </c>
      <c r="J115" s="106" t="s">
        <v>102</v>
      </c>
      <c r="K115" s="106" t="s">
        <v>78</v>
      </c>
      <c r="L115" s="119" t="str">
        <f>IF($B115="","",IFERROR(INDEX(Productos!$C:$C,MATCH($B115,Productos!$A:$A,0)),""))</f>
        <v>Bebidas</v>
      </c>
    </row>
    <row r="116" spans="1:12" ht="15" customHeight="1" x14ac:dyDescent="0.3">
      <c r="A116" s="105">
        <v>46213</v>
      </c>
      <c r="B116" s="106" t="s">
        <v>141</v>
      </c>
      <c r="C116" s="119" t="str">
        <f>IF($B116="","",IFERROR(INDEX(Productos!$B:$B,MATCH($B116,Productos!$A:$A,0)),""))</f>
        <v>Cerveza lata 330 ml</v>
      </c>
      <c r="D116" s="107">
        <v>4</v>
      </c>
      <c r="E116" s="120">
        <f>IF($B116="","",IFERROR(INDEX(Productos!$F:$F,MATCH($B116,Productos!$A:$A,0)),0))</f>
        <v>3800</v>
      </c>
      <c r="F116" s="120">
        <f t="shared" si="3"/>
        <v>15200</v>
      </c>
      <c r="G116" s="120">
        <f>IF($B116="","",IFERROR(INDEX(Productos!$E:$E,MATCH($B116,Productos!$A:$A,0)),0))</f>
        <v>2600</v>
      </c>
      <c r="H116" s="120">
        <f t="shared" si="4"/>
        <v>10400</v>
      </c>
      <c r="I116" s="120">
        <f t="shared" si="5"/>
        <v>4800</v>
      </c>
      <c r="J116" s="106" t="s">
        <v>102</v>
      </c>
      <c r="K116" s="106" t="s">
        <v>81</v>
      </c>
      <c r="L116" s="119" t="str">
        <f>IF($B116="","",IFERROR(INDEX(Productos!$C:$C,MATCH($B116,Productos!$A:$A,0)),""))</f>
        <v>Bebidas</v>
      </c>
    </row>
    <row r="117" spans="1:12" ht="15" customHeight="1" x14ac:dyDescent="0.3">
      <c r="A117" s="105">
        <v>46213</v>
      </c>
      <c r="B117" s="106" t="s">
        <v>146</v>
      </c>
      <c r="C117" s="119" t="str">
        <f>IF($B117="","",IFERROR(INDEX(Productos!$B:$B,MATCH($B117,Productos!$A:$A,0)),""))</f>
        <v>Galletas surtidas</v>
      </c>
      <c r="D117" s="107">
        <v>2</v>
      </c>
      <c r="E117" s="120">
        <f>IF($B117="","",IFERROR(INDEX(Productos!$F:$F,MATCH($B117,Productos!$A:$A,0)),0))</f>
        <v>2700</v>
      </c>
      <c r="F117" s="120">
        <f t="shared" si="3"/>
        <v>5400</v>
      </c>
      <c r="G117" s="120">
        <f>IF($B117="","",IFERROR(INDEX(Productos!$E:$E,MATCH($B117,Productos!$A:$A,0)),0))</f>
        <v>1800</v>
      </c>
      <c r="H117" s="120">
        <f t="shared" si="4"/>
        <v>3600</v>
      </c>
      <c r="I117" s="120">
        <f t="shared" si="5"/>
        <v>1800</v>
      </c>
      <c r="J117" s="106" t="s">
        <v>104</v>
      </c>
      <c r="K117" s="106" t="s">
        <v>78</v>
      </c>
      <c r="L117" s="119" t="str">
        <f>IF($B117="","",IFERROR(INDEX(Productos!$C:$C,MATCH($B117,Productos!$A:$A,0)),""))</f>
        <v>Snacks</v>
      </c>
    </row>
    <row r="118" spans="1:12" ht="15" customHeight="1" x14ac:dyDescent="0.3">
      <c r="A118" s="105">
        <v>46213</v>
      </c>
      <c r="B118" s="106" t="s">
        <v>149</v>
      </c>
      <c r="C118" s="119" t="str">
        <f>IF($B118="","",IFERROR(INDEX(Productos!$B:$B,MATCH($B118,Productos!$A:$A,0)),""))</f>
        <v>Papas fritas 105 g</v>
      </c>
      <c r="D118" s="107">
        <v>2</v>
      </c>
      <c r="E118" s="120">
        <f>IF($B118="","",IFERROR(INDEX(Productos!$F:$F,MATCH($B118,Productos!$A:$A,0)),0))</f>
        <v>4800</v>
      </c>
      <c r="F118" s="120">
        <f t="shared" si="3"/>
        <v>9600</v>
      </c>
      <c r="G118" s="120">
        <f>IF($B118="","",IFERROR(INDEX(Productos!$E:$E,MATCH($B118,Productos!$A:$A,0)),0))</f>
        <v>3200</v>
      </c>
      <c r="H118" s="120">
        <f t="shared" si="4"/>
        <v>6400</v>
      </c>
      <c r="I118" s="120">
        <f t="shared" si="5"/>
        <v>3200</v>
      </c>
      <c r="J118" s="106" t="s">
        <v>102</v>
      </c>
      <c r="K118" s="106" t="s">
        <v>78</v>
      </c>
      <c r="L118" s="119" t="str">
        <f>IF($B118="","",IFERROR(INDEX(Productos!$C:$C,MATCH($B118,Productos!$A:$A,0)),""))</f>
        <v>Snacks</v>
      </c>
    </row>
    <row r="119" spans="1:12" ht="15" customHeight="1" x14ac:dyDescent="0.3">
      <c r="A119" s="105">
        <v>46213</v>
      </c>
      <c r="B119" s="106" t="s">
        <v>154</v>
      </c>
      <c r="C119" s="119" t="str">
        <f>IF($B119="","",IFERROR(INDEX(Productos!$B:$B,MATCH($B119,Productos!$A:$A,0)),""))</f>
        <v>Jabón de barra</v>
      </c>
      <c r="D119" s="107">
        <v>1</v>
      </c>
      <c r="E119" s="120">
        <f>IF($B119="","",IFERROR(INDEX(Productos!$F:$F,MATCH($B119,Productos!$A:$A,0)),0))</f>
        <v>2800</v>
      </c>
      <c r="F119" s="120">
        <f t="shared" si="3"/>
        <v>2800</v>
      </c>
      <c r="G119" s="120">
        <f>IF($B119="","",IFERROR(INDEX(Productos!$E:$E,MATCH($B119,Productos!$A:$A,0)),0))</f>
        <v>1900</v>
      </c>
      <c r="H119" s="120">
        <f t="shared" si="4"/>
        <v>1900</v>
      </c>
      <c r="I119" s="120">
        <f t="shared" si="5"/>
        <v>900</v>
      </c>
      <c r="J119" s="106" t="s">
        <v>104</v>
      </c>
      <c r="K119" s="106" t="s">
        <v>81</v>
      </c>
      <c r="L119" s="119" t="str">
        <f>IF($B119="","",IFERROR(INDEX(Productos!$C:$C,MATCH($B119,Productos!$A:$A,0)),""))</f>
        <v>Aseo personal</v>
      </c>
    </row>
    <row r="120" spans="1:12" ht="15" customHeight="1" x14ac:dyDescent="0.3">
      <c r="A120" s="105">
        <v>46213</v>
      </c>
      <c r="B120" s="106" t="s">
        <v>166</v>
      </c>
      <c r="C120" s="119" t="str">
        <f>IF($B120="","",IFERROR(INDEX(Productos!$B:$B,MATCH($B120,Productos!$A:$A,0)),""))</f>
        <v>Papa kg</v>
      </c>
      <c r="D120" s="107">
        <v>1</v>
      </c>
      <c r="E120" s="120">
        <f>IF($B120="","",IFERROR(INDEX(Productos!$F:$F,MATCH($B120,Productos!$A:$A,0)),0))</f>
        <v>2800</v>
      </c>
      <c r="F120" s="120">
        <f t="shared" si="3"/>
        <v>2800</v>
      </c>
      <c r="G120" s="120">
        <f>IF($B120="","",IFERROR(INDEX(Productos!$E:$E,MATCH($B120,Productos!$A:$A,0)),0))</f>
        <v>1900</v>
      </c>
      <c r="H120" s="120">
        <f t="shared" si="4"/>
        <v>1900</v>
      </c>
      <c r="I120" s="120">
        <f t="shared" si="5"/>
        <v>900</v>
      </c>
      <c r="J120" s="106" t="s">
        <v>108</v>
      </c>
      <c r="K120" s="106" t="s">
        <v>79</v>
      </c>
      <c r="L120" s="119" t="str">
        <f>IF($B120="","",IFERROR(INDEX(Productos!$C:$C,MATCH($B120,Productos!$A:$A,0)),""))</f>
        <v>Frutas y verduras</v>
      </c>
    </row>
    <row r="121" spans="1:12" ht="15" customHeight="1" x14ac:dyDescent="0.3">
      <c r="A121" s="105">
        <v>46213</v>
      </c>
      <c r="B121" s="106" t="s">
        <v>168</v>
      </c>
      <c r="C121" s="119" t="str">
        <f>IF($B121="","",IFERROR(INDEX(Productos!$B:$B,MATCH($B121,Productos!$A:$A,0)),""))</f>
        <v>Banano kg</v>
      </c>
      <c r="D121" s="107">
        <v>1</v>
      </c>
      <c r="E121" s="120">
        <f>IF($B121="","",IFERROR(INDEX(Productos!$F:$F,MATCH($B121,Productos!$A:$A,0)),0))</f>
        <v>3400</v>
      </c>
      <c r="F121" s="120">
        <f t="shared" si="3"/>
        <v>3400</v>
      </c>
      <c r="G121" s="120">
        <f>IF($B121="","",IFERROR(INDEX(Productos!$E:$E,MATCH($B121,Productos!$A:$A,0)),0))</f>
        <v>2200</v>
      </c>
      <c r="H121" s="120">
        <f t="shared" si="4"/>
        <v>2200</v>
      </c>
      <c r="I121" s="120">
        <f t="shared" si="5"/>
        <v>1200</v>
      </c>
      <c r="J121" s="106" t="s">
        <v>102</v>
      </c>
      <c r="K121" s="106" t="s">
        <v>80</v>
      </c>
      <c r="L121" s="119" t="str">
        <f>IF($B121="","",IFERROR(INDEX(Productos!$C:$C,MATCH($B121,Productos!$A:$A,0)),""))</f>
        <v>Frutas y verduras</v>
      </c>
    </row>
    <row r="122" spans="1:12" ht="15" customHeight="1" x14ac:dyDescent="0.3">
      <c r="A122" s="105">
        <v>46214</v>
      </c>
      <c r="B122" s="106" t="s">
        <v>121</v>
      </c>
      <c r="C122" s="119" t="str">
        <f>IF($B122="","",IFERROR(INDEX(Productos!$B:$B,MATCH($B122,Productos!$A:$A,0)),""))</f>
        <v>Arroz x 500 g</v>
      </c>
      <c r="D122" s="107">
        <v>1</v>
      </c>
      <c r="E122" s="120">
        <f>IF($B122="","",IFERROR(INDEX(Productos!$F:$F,MATCH($B122,Productos!$A:$A,0)),0))</f>
        <v>2600</v>
      </c>
      <c r="F122" s="120">
        <f t="shared" si="3"/>
        <v>2600</v>
      </c>
      <c r="G122" s="120">
        <f>IF($B122="","",IFERROR(INDEX(Productos!$E:$E,MATCH($B122,Productos!$A:$A,0)),0))</f>
        <v>1850</v>
      </c>
      <c r="H122" s="120">
        <f t="shared" si="4"/>
        <v>1850</v>
      </c>
      <c r="I122" s="120">
        <f t="shared" si="5"/>
        <v>750</v>
      </c>
      <c r="J122" s="106" t="s">
        <v>106</v>
      </c>
      <c r="K122" s="106" t="s">
        <v>78</v>
      </c>
      <c r="L122" s="119" t="str">
        <f>IF($B122="","",IFERROR(INDEX(Productos!$C:$C,MATCH($B122,Productos!$A:$A,0)),""))</f>
        <v>Granos y abarrotes</v>
      </c>
    </row>
    <row r="123" spans="1:12" ht="15" customHeight="1" x14ac:dyDescent="0.3">
      <c r="A123" s="105">
        <v>46214</v>
      </c>
      <c r="B123" s="106" t="s">
        <v>124</v>
      </c>
      <c r="C123" s="119" t="str">
        <f>IF($B123="","",IFERROR(INDEX(Productos!$B:$B,MATCH($B123,Productos!$A:$A,0)),""))</f>
        <v>Aceite girasol 1 L</v>
      </c>
      <c r="D123" s="107">
        <v>1</v>
      </c>
      <c r="E123" s="120">
        <f>IF($B123="","",IFERROR(INDEX(Productos!$F:$F,MATCH($B123,Productos!$A:$A,0)),0))</f>
        <v>9500</v>
      </c>
      <c r="F123" s="120">
        <f t="shared" si="3"/>
        <v>9500</v>
      </c>
      <c r="G123" s="120">
        <f>IF($B123="","",IFERROR(INDEX(Productos!$E:$E,MATCH($B123,Productos!$A:$A,0)),0))</f>
        <v>7200</v>
      </c>
      <c r="H123" s="120">
        <f t="shared" si="4"/>
        <v>7200</v>
      </c>
      <c r="I123" s="120">
        <f t="shared" si="5"/>
        <v>2300</v>
      </c>
      <c r="J123" s="106" t="s">
        <v>104</v>
      </c>
      <c r="K123" s="106" t="s">
        <v>80</v>
      </c>
      <c r="L123" s="119" t="str">
        <f>IF($B123="","",IFERROR(INDEX(Productos!$C:$C,MATCH($B123,Productos!$A:$A,0)),""))</f>
        <v>Granos y abarrotes</v>
      </c>
    </row>
    <row r="124" spans="1:12" ht="15" customHeight="1" x14ac:dyDescent="0.3">
      <c r="A124" s="105">
        <v>46214</v>
      </c>
      <c r="B124" s="106" t="s">
        <v>126</v>
      </c>
      <c r="C124" s="119" t="str">
        <f>IF($B124="","",IFERROR(INDEX(Productos!$B:$B,MATCH($B124,Productos!$A:$A,0)),""))</f>
        <v>Panela x 500 g</v>
      </c>
      <c r="D124" s="107">
        <v>1</v>
      </c>
      <c r="E124" s="120">
        <f>IF($B124="","",IFERROR(INDEX(Productos!$F:$F,MATCH($B124,Productos!$A:$A,0)),0))</f>
        <v>2900</v>
      </c>
      <c r="F124" s="120">
        <f t="shared" si="3"/>
        <v>2900</v>
      </c>
      <c r="G124" s="120">
        <f>IF($B124="","",IFERROR(INDEX(Productos!$E:$E,MATCH($B124,Productos!$A:$A,0)),0))</f>
        <v>2100</v>
      </c>
      <c r="H124" s="120">
        <f t="shared" si="4"/>
        <v>2100</v>
      </c>
      <c r="I124" s="120">
        <f t="shared" si="5"/>
        <v>800</v>
      </c>
      <c r="J124" s="106" t="s">
        <v>104</v>
      </c>
      <c r="K124" s="106" t="s">
        <v>78</v>
      </c>
      <c r="L124" s="119" t="str">
        <f>IF($B124="","",IFERROR(INDEX(Productos!$C:$C,MATCH($B124,Productos!$A:$A,0)),""))</f>
        <v>Granos y abarrotes</v>
      </c>
    </row>
    <row r="125" spans="1:12" ht="15" customHeight="1" x14ac:dyDescent="0.3">
      <c r="A125" s="105">
        <v>46214</v>
      </c>
      <c r="B125" s="106" t="s">
        <v>129</v>
      </c>
      <c r="C125" s="119" t="str">
        <f>IF($B125="","",IFERROR(INDEX(Productos!$B:$B,MATCH($B125,Productos!$A:$A,0)),""))</f>
        <v>Leche entera 1 L</v>
      </c>
      <c r="D125" s="107">
        <v>1</v>
      </c>
      <c r="E125" s="120">
        <f>IF($B125="","",IFERROR(INDEX(Productos!$F:$F,MATCH($B125,Productos!$A:$A,0)),0))</f>
        <v>3900</v>
      </c>
      <c r="F125" s="120">
        <f t="shared" si="3"/>
        <v>3900</v>
      </c>
      <c r="G125" s="120">
        <f>IF($B125="","",IFERROR(INDEX(Productos!$E:$E,MATCH($B125,Productos!$A:$A,0)),0))</f>
        <v>3100</v>
      </c>
      <c r="H125" s="120">
        <f t="shared" si="4"/>
        <v>3100</v>
      </c>
      <c r="I125" s="120">
        <f t="shared" si="5"/>
        <v>800</v>
      </c>
      <c r="J125" s="106" t="s">
        <v>104</v>
      </c>
      <c r="K125" s="106" t="s">
        <v>78</v>
      </c>
      <c r="L125" s="119" t="str">
        <f>IF($B125="","",IFERROR(INDEX(Productos!$C:$C,MATCH($B125,Productos!$A:$A,0)),""))</f>
        <v>Lácteos</v>
      </c>
    </row>
    <row r="126" spans="1:12" ht="15" customHeight="1" x14ac:dyDescent="0.3">
      <c r="A126" s="105">
        <v>46214</v>
      </c>
      <c r="B126" s="106" t="s">
        <v>134</v>
      </c>
      <c r="C126" s="119" t="str">
        <f>IF($B126="","",IFERROR(INDEX(Productos!$B:$B,MATCH($B126,Productos!$A:$A,0)),""))</f>
        <v>Yogur 1 L</v>
      </c>
      <c r="D126" s="107">
        <v>3</v>
      </c>
      <c r="E126" s="120">
        <f>IF($B126="","",IFERROR(INDEX(Productos!$F:$F,MATCH($B126,Productos!$A:$A,0)),0))</f>
        <v>7200</v>
      </c>
      <c r="F126" s="120">
        <f t="shared" si="3"/>
        <v>21600</v>
      </c>
      <c r="G126" s="120">
        <f>IF($B126="","",IFERROR(INDEX(Productos!$E:$E,MATCH($B126,Productos!$A:$A,0)),0))</f>
        <v>5400</v>
      </c>
      <c r="H126" s="120">
        <f t="shared" si="4"/>
        <v>16200</v>
      </c>
      <c r="I126" s="120">
        <f t="shared" si="5"/>
        <v>5400</v>
      </c>
      <c r="J126" s="106" t="s">
        <v>104</v>
      </c>
      <c r="K126" s="106" t="s">
        <v>80</v>
      </c>
      <c r="L126" s="119" t="str">
        <f>IF($B126="","",IFERROR(INDEX(Productos!$C:$C,MATCH($B126,Productos!$A:$A,0)),""))</f>
        <v>Lácteos</v>
      </c>
    </row>
    <row r="127" spans="1:12" ht="15" customHeight="1" x14ac:dyDescent="0.3">
      <c r="A127" s="105">
        <v>46214</v>
      </c>
      <c r="B127" s="106" t="s">
        <v>136</v>
      </c>
      <c r="C127" s="119" t="str">
        <f>IF($B127="","",IFERROR(INDEX(Productos!$B:$B,MATCH($B127,Productos!$A:$A,0)),""))</f>
        <v>Gaseosa 1,5 L</v>
      </c>
      <c r="D127" s="107">
        <v>2</v>
      </c>
      <c r="E127" s="120">
        <f>IF($B127="","",IFERROR(INDEX(Productos!$F:$F,MATCH($B127,Productos!$A:$A,0)),0))</f>
        <v>4500</v>
      </c>
      <c r="F127" s="120">
        <f t="shared" si="3"/>
        <v>9000</v>
      </c>
      <c r="G127" s="120">
        <f>IF($B127="","",IFERROR(INDEX(Productos!$E:$E,MATCH($B127,Productos!$A:$A,0)),0))</f>
        <v>3400</v>
      </c>
      <c r="H127" s="120">
        <f t="shared" si="4"/>
        <v>6800</v>
      </c>
      <c r="I127" s="120">
        <f t="shared" si="5"/>
        <v>2200</v>
      </c>
      <c r="J127" s="106" t="s">
        <v>106</v>
      </c>
      <c r="K127" s="106" t="s">
        <v>78</v>
      </c>
      <c r="L127" s="119" t="str">
        <f>IF($B127="","",IFERROR(INDEX(Productos!$C:$C,MATCH($B127,Productos!$A:$A,0)),""))</f>
        <v>Bebidas</v>
      </c>
    </row>
    <row r="128" spans="1:12" ht="15" customHeight="1" x14ac:dyDescent="0.3">
      <c r="A128" s="105">
        <v>46214</v>
      </c>
      <c r="B128" s="106" t="s">
        <v>139</v>
      </c>
      <c r="C128" s="119" t="str">
        <f>IF($B128="","",IFERROR(INDEX(Productos!$B:$B,MATCH($B128,Productos!$A:$A,0)),""))</f>
        <v>Agua 600 ml</v>
      </c>
      <c r="D128" s="107">
        <v>1</v>
      </c>
      <c r="E128" s="120">
        <f>IF($B128="","",IFERROR(INDEX(Productos!$F:$F,MATCH($B128,Productos!$A:$A,0)),0))</f>
        <v>1800</v>
      </c>
      <c r="F128" s="120">
        <f t="shared" si="3"/>
        <v>1800</v>
      </c>
      <c r="G128" s="120">
        <f>IF($B128="","",IFERROR(INDEX(Productos!$E:$E,MATCH($B128,Productos!$A:$A,0)),0))</f>
        <v>1200</v>
      </c>
      <c r="H128" s="120">
        <f t="shared" si="4"/>
        <v>1200</v>
      </c>
      <c r="I128" s="120">
        <f t="shared" si="5"/>
        <v>600</v>
      </c>
      <c r="J128" s="106" t="s">
        <v>104</v>
      </c>
      <c r="K128" s="106" t="s">
        <v>78</v>
      </c>
      <c r="L128" s="119" t="str">
        <f>IF($B128="","",IFERROR(INDEX(Productos!$C:$C,MATCH($B128,Productos!$A:$A,0)),""))</f>
        <v>Bebidas</v>
      </c>
    </row>
    <row r="129" spans="1:12" ht="15" customHeight="1" x14ac:dyDescent="0.3">
      <c r="A129" s="105">
        <v>46214</v>
      </c>
      <c r="B129" s="106" t="s">
        <v>141</v>
      </c>
      <c r="C129" s="119" t="str">
        <f>IF($B129="","",IFERROR(INDEX(Productos!$B:$B,MATCH($B129,Productos!$A:$A,0)),""))</f>
        <v>Cerveza lata 330 ml</v>
      </c>
      <c r="D129" s="107">
        <v>1</v>
      </c>
      <c r="E129" s="120">
        <f>IF($B129="","",IFERROR(INDEX(Productos!$F:$F,MATCH($B129,Productos!$A:$A,0)),0))</f>
        <v>3800</v>
      </c>
      <c r="F129" s="120">
        <f t="shared" si="3"/>
        <v>3800</v>
      </c>
      <c r="G129" s="120">
        <f>IF($B129="","",IFERROR(INDEX(Productos!$E:$E,MATCH($B129,Productos!$A:$A,0)),0))</f>
        <v>2600</v>
      </c>
      <c r="H129" s="120">
        <f t="shared" si="4"/>
        <v>2600</v>
      </c>
      <c r="I129" s="120">
        <f t="shared" si="5"/>
        <v>1200</v>
      </c>
      <c r="J129" s="106" t="s">
        <v>106</v>
      </c>
      <c r="K129" s="106" t="s">
        <v>78</v>
      </c>
      <c r="L129" s="119" t="str">
        <f>IF($B129="","",IFERROR(INDEX(Productos!$C:$C,MATCH($B129,Productos!$A:$A,0)),""))</f>
        <v>Bebidas</v>
      </c>
    </row>
    <row r="130" spans="1:12" ht="15" customHeight="1" x14ac:dyDescent="0.3">
      <c r="A130" s="105">
        <v>46214</v>
      </c>
      <c r="B130" s="106" t="s">
        <v>143</v>
      </c>
      <c r="C130" s="119" t="str">
        <f>IF($B130="","",IFERROR(INDEX(Productos!$B:$B,MATCH($B130,Productos!$A:$A,0)),""))</f>
        <v>Pan tajado 500 g</v>
      </c>
      <c r="D130" s="107">
        <v>1</v>
      </c>
      <c r="E130" s="120">
        <f>IF($B130="","",IFERROR(INDEX(Productos!$F:$F,MATCH($B130,Productos!$A:$A,0)),0))</f>
        <v>5200</v>
      </c>
      <c r="F130" s="120">
        <f t="shared" si="3"/>
        <v>5200</v>
      </c>
      <c r="G130" s="120">
        <f>IF($B130="","",IFERROR(INDEX(Productos!$E:$E,MATCH($B130,Productos!$A:$A,0)),0))</f>
        <v>3900</v>
      </c>
      <c r="H130" s="120">
        <f t="shared" si="4"/>
        <v>3900</v>
      </c>
      <c r="I130" s="120">
        <f t="shared" si="5"/>
        <v>1300</v>
      </c>
      <c r="J130" s="106" t="s">
        <v>106</v>
      </c>
      <c r="K130" s="106" t="s">
        <v>78</v>
      </c>
      <c r="L130" s="119" t="str">
        <f>IF($B130="","",IFERROR(INDEX(Productos!$C:$C,MATCH($B130,Productos!$A:$A,0)),""))</f>
        <v>Panadería</v>
      </c>
    </row>
    <row r="131" spans="1:12" ht="15" customHeight="1" x14ac:dyDescent="0.3">
      <c r="A131" s="105">
        <v>46214</v>
      </c>
      <c r="B131" s="106" t="s">
        <v>146</v>
      </c>
      <c r="C131" s="119" t="str">
        <f>IF($B131="","",IFERROR(INDEX(Productos!$B:$B,MATCH($B131,Productos!$A:$A,0)),""))</f>
        <v>Galletas surtidas</v>
      </c>
      <c r="D131" s="107">
        <v>4</v>
      </c>
      <c r="E131" s="120">
        <f>IF($B131="","",IFERROR(INDEX(Productos!$F:$F,MATCH($B131,Productos!$A:$A,0)),0))</f>
        <v>2700</v>
      </c>
      <c r="F131" s="120">
        <f t="shared" si="3"/>
        <v>10800</v>
      </c>
      <c r="G131" s="120">
        <f>IF($B131="","",IFERROR(INDEX(Productos!$E:$E,MATCH($B131,Productos!$A:$A,0)),0))</f>
        <v>1800</v>
      </c>
      <c r="H131" s="120">
        <f t="shared" si="4"/>
        <v>7200</v>
      </c>
      <c r="I131" s="120">
        <f t="shared" si="5"/>
        <v>3600</v>
      </c>
      <c r="J131" s="106" t="s">
        <v>106</v>
      </c>
      <c r="K131" s="106" t="s">
        <v>79</v>
      </c>
      <c r="L131" s="119" t="str">
        <f>IF($B131="","",IFERROR(INDEX(Productos!$C:$C,MATCH($B131,Productos!$A:$A,0)),""))</f>
        <v>Snacks</v>
      </c>
    </row>
    <row r="132" spans="1:12" ht="15" customHeight="1" x14ac:dyDescent="0.3">
      <c r="A132" s="105">
        <v>46214</v>
      </c>
      <c r="B132" s="106" t="s">
        <v>149</v>
      </c>
      <c r="C132" s="119" t="str">
        <f>IF($B132="","",IFERROR(INDEX(Productos!$B:$B,MATCH($B132,Productos!$A:$A,0)),""))</f>
        <v>Papas fritas 105 g</v>
      </c>
      <c r="D132" s="107">
        <v>2</v>
      </c>
      <c r="E132" s="120">
        <f>IF($B132="","",IFERROR(INDEX(Productos!$F:$F,MATCH($B132,Productos!$A:$A,0)),0))</f>
        <v>4800</v>
      </c>
      <c r="F132" s="120">
        <f t="shared" si="3"/>
        <v>9600</v>
      </c>
      <c r="G132" s="120">
        <f>IF($B132="","",IFERROR(INDEX(Productos!$E:$E,MATCH($B132,Productos!$A:$A,0)),0))</f>
        <v>3200</v>
      </c>
      <c r="H132" s="120">
        <f t="shared" si="4"/>
        <v>6400</v>
      </c>
      <c r="I132" s="120">
        <f t="shared" si="5"/>
        <v>3200</v>
      </c>
      <c r="J132" s="106" t="s">
        <v>108</v>
      </c>
      <c r="K132" s="106" t="s">
        <v>78</v>
      </c>
      <c r="L132" s="119" t="str">
        <f>IF($B132="","",IFERROR(INDEX(Productos!$C:$C,MATCH($B132,Productos!$A:$A,0)),""))</f>
        <v>Snacks</v>
      </c>
    </row>
    <row r="133" spans="1:12" ht="15" customHeight="1" x14ac:dyDescent="0.3">
      <c r="A133" s="105">
        <v>46214</v>
      </c>
      <c r="B133" s="106" t="s">
        <v>151</v>
      </c>
      <c r="C133" s="119" t="str">
        <f>IF($B133="","",IFERROR(INDEX(Productos!$B:$B,MATCH($B133,Productos!$A:$A,0)),""))</f>
        <v>Detergente 1 kg</v>
      </c>
      <c r="D133" s="107">
        <v>1</v>
      </c>
      <c r="E133" s="120">
        <f>IF($B133="","",IFERROR(INDEX(Productos!$F:$F,MATCH($B133,Productos!$A:$A,0)),0))</f>
        <v>9200</v>
      </c>
      <c r="F133" s="120">
        <f t="shared" ref="F133:F196" si="6">IF($B133="","",N(D133)*E133)</f>
        <v>9200</v>
      </c>
      <c r="G133" s="120">
        <f>IF($B133="","",IFERROR(INDEX(Productos!$E:$E,MATCH($B133,Productos!$A:$A,0)),0))</f>
        <v>6800</v>
      </c>
      <c r="H133" s="120">
        <f t="shared" ref="H133:H196" si="7">IF($B133="","",N(D133)*G133)</f>
        <v>6800</v>
      </c>
      <c r="I133" s="120">
        <f t="shared" ref="I133:I196" si="8">IF($B133="","",F133-H133)</f>
        <v>2400</v>
      </c>
      <c r="J133" s="106" t="s">
        <v>104</v>
      </c>
      <c r="K133" s="106" t="s">
        <v>78</v>
      </c>
      <c r="L133" s="119" t="str">
        <f>IF($B133="","",IFERROR(INDEX(Productos!$C:$C,MATCH($B133,Productos!$A:$A,0)),""))</f>
        <v>Aseo hogar</v>
      </c>
    </row>
    <row r="134" spans="1:12" ht="15" customHeight="1" x14ac:dyDescent="0.3">
      <c r="A134" s="105">
        <v>46214</v>
      </c>
      <c r="B134" s="106" t="s">
        <v>154</v>
      </c>
      <c r="C134" s="119" t="str">
        <f>IF($B134="","",IFERROR(INDEX(Productos!$B:$B,MATCH($B134,Productos!$A:$A,0)),""))</f>
        <v>Jabón de barra</v>
      </c>
      <c r="D134" s="107">
        <v>2</v>
      </c>
      <c r="E134" s="120">
        <f>IF($B134="","",IFERROR(INDEX(Productos!$F:$F,MATCH($B134,Productos!$A:$A,0)),0))</f>
        <v>2800</v>
      </c>
      <c r="F134" s="120">
        <f t="shared" si="6"/>
        <v>5600</v>
      </c>
      <c r="G134" s="120">
        <f>IF($B134="","",IFERROR(INDEX(Productos!$E:$E,MATCH($B134,Productos!$A:$A,0)),0))</f>
        <v>1900</v>
      </c>
      <c r="H134" s="120">
        <f t="shared" si="7"/>
        <v>3800</v>
      </c>
      <c r="I134" s="120">
        <f t="shared" si="8"/>
        <v>1800</v>
      </c>
      <c r="J134" s="106" t="s">
        <v>102</v>
      </c>
      <c r="K134" s="106" t="s">
        <v>81</v>
      </c>
      <c r="L134" s="119" t="str">
        <f>IF($B134="","",IFERROR(INDEX(Productos!$C:$C,MATCH($B134,Productos!$A:$A,0)),""))</f>
        <v>Aseo personal</v>
      </c>
    </row>
    <row r="135" spans="1:12" ht="15" customHeight="1" x14ac:dyDescent="0.3">
      <c r="A135" s="105">
        <v>46214</v>
      </c>
      <c r="B135" s="106" t="s">
        <v>156</v>
      </c>
      <c r="C135" s="119" t="str">
        <f>IF($B135="","",IFERROR(INDEX(Productos!$B:$B,MATCH($B135,Productos!$A:$A,0)),""))</f>
        <v>Papel higiénico x 4</v>
      </c>
      <c r="D135" s="107">
        <v>1</v>
      </c>
      <c r="E135" s="120">
        <f>IF($B135="","",IFERROR(INDEX(Productos!$F:$F,MATCH($B135,Productos!$A:$A,0)),0))</f>
        <v>7800</v>
      </c>
      <c r="F135" s="120">
        <f t="shared" si="6"/>
        <v>7800</v>
      </c>
      <c r="G135" s="120">
        <f>IF($B135="","",IFERROR(INDEX(Productos!$E:$E,MATCH($B135,Productos!$A:$A,0)),0))</f>
        <v>5600</v>
      </c>
      <c r="H135" s="120">
        <f t="shared" si="7"/>
        <v>5600</v>
      </c>
      <c r="I135" s="120">
        <f t="shared" si="8"/>
        <v>2200</v>
      </c>
      <c r="J135" s="106" t="s">
        <v>102</v>
      </c>
      <c r="K135" s="106" t="s">
        <v>78</v>
      </c>
      <c r="L135" s="119" t="str">
        <f>IF($B135="","",IFERROR(INDEX(Productos!$C:$C,MATCH($B135,Productos!$A:$A,0)),""))</f>
        <v>Aseo hogar</v>
      </c>
    </row>
    <row r="136" spans="1:12" ht="15" customHeight="1" x14ac:dyDescent="0.3">
      <c r="A136" s="105">
        <v>46214</v>
      </c>
      <c r="B136" s="106" t="s">
        <v>158</v>
      </c>
      <c r="C136" s="119" t="str">
        <f>IF($B136="","",IFERROR(INDEX(Productos!$B:$B,MATCH($B136,Productos!$A:$A,0)),""))</f>
        <v>Huevos AA x 12</v>
      </c>
      <c r="D136" s="107">
        <v>2</v>
      </c>
      <c r="E136" s="120">
        <f>IF($B136="","",IFERROR(INDEX(Productos!$F:$F,MATCH($B136,Productos!$A:$A,0)),0))</f>
        <v>12000</v>
      </c>
      <c r="F136" s="120">
        <f t="shared" si="6"/>
        <v>24000</v>
      </c>
      <c r="G136" s="120">
        <f>IF($B136="","",IFERROR(INDEX(Productos!$E:$E,MATCH($B136,Productos!$A:$A,0)),0))</f>
        <v>9200</v>
      </c>
      <c r="H136" s="120">
        <f t="shared" si="7"/>
        <v>18400</v>
      </c>
      <c r="I136" s="120">
        <f t="shared" si="8"/>
        <v>5600</v>
      </c>
      <c r="J136" s="106" t="s">
        <v>102</v>
      </c>
      <c r="K136" s="106" t="s">
        <v>78</v>
      </c>
      <c r="L136" s="119" t="str">
        <f>IF($B136="","",IFERROR(INDEX(Productos!$C:$C,MATCH($B136,Productos!$A:$A,0)),""))</f>
        <v>Perecederos</v>
      </c>
    </row>
    <row r="137" spans="1:12" ht="15" customHeight="1" x14ac:dyDescent="0.3">
      <c r="A137" s="105">
        <v>46214</v>
      </c>
      <c r="B137" s="106" t="s">
        <v>161</v>
      </c>
      <c r="C137" s="119" t="str">
        <f>IF($B137="","",IFERROR(INDEX(Productos!$B:$B,MATCH($B137,Productos!$A:$A,0)),""))</f>
        <v>Pollo entero kg</v>
      </c>
      <c r="D137" s="107">
        <v>1</v>
      </c>
      <c r="E137" s="120">
        <f>IF($B137="","",IFERROR(INDEX(Productos!$F:$F,MATCH($B137,Productos!$A:$A,0)),0))</f>
        <v>14800</v>
      </c>
      <c r="F137" s="120">
        <f t="shared" si="6"/>
        <v>14800</v>
      </c>
      <c r="G137" s="120">
        <f>IF($B137="","",IFERROR(INDEX(Productos!$E:$E,MATCH($B137,Productos!$A:$A,0)),0))</f>
        <v>11500</v>
      </c>
      <c r="H137" s="120">
        <f t="shared" si="7"/>
        <v>11500</v>
      </c>
      <c r="I137" s="120">
        <f t="shared" si="8"/>
        <v>3300</v>
      </c>
      <c r="J137" s="106" t="s">
        <v>102</v>
      </c>
      <c r="K137" s="106" t="s">
        <v>81</v>
      </c>
      <c r="L137" s="119" t="str">
        <f>IF($B137="","",IFERROR(INDEX(Productos!$C:$C,MATCH($B137,Productos!$A:$A,0)),""))</f>
        <v>Perecederos</v>
      </c>
    </row>
    <row r="138" spans="1:12" ht="15" customHeight="1" x14ac:dyDescent="0.3">
      <c r="A138" s="105">
        <v>46214</v>
      </c>
      <c r="B138" s="106" t="s">
        <v>163</v>
      </c>
      <c r="C138" s="119" t="str">
        <f>IF($B138="","",IFERROR(INDEX(Productos!$B:$B,MATCH($B138,Productos!$A:$A,0)),""))</f>
        <v>Tomate kg</v>
      </c>
      <c r="D138" s="107">
        <v>2</v>
      </c>
      <c r="E138" s="120">
        <f>IF($B138="","",IFERROR(INDEX(Productos!$F:$F,MATCH($B138,Productos!$A:$A,0)),0))</f>
        <v>4200</v>
      </c>
      <c r="F138" s="120">
        <f t="shared" si="6"/>
        <v>8400</v>
      </c>
      <c r="G138" s="120">
        <f>IF($B138="","",IFERROR(INDEX(Productos!$E:$E,MATCH($B138,Productos!$A:$A,0)),0))</f>
        <v>2800</v>
      </c>
      <c r="H138" s="120">
        <f t="shared" si="7"/>
        <v>5600</v>
      </c>
      <c r="I138" s="120">
        <f t="shared" si="8"/>
        <v>2800</v>
      </c>
      <c r="J138" s="106" t="s">
        <v>106</v>
      </c>
      <c r="K138" s="106" t="s">
        <v>79</v>
      </c>
      <c r="L138" s="119" t="str">
        <f>IF($B138="","",IFERROR(INDEX(Productos!$C:$C,MATCH($B138,Productos!$A:$A,0)),""))</f>
        <v>Frutas y verduras</v>
      </c>
    </row>
    <row r="139" spans="1:12" ht="15" customHeight="1" x14ac:dyDescent="0.3">
      <c r="A139" s="105">
        <v>46214</v>
      </c>
      <c r="B139" s="106" t="s">
        <v>166</v>
      </c>
      <c r="C139" s="119" t="str">
        <f>IF($B139="","",IFERROR(INDEX(Productos!$B:$B,MATCH($B139,Productos!$A:$A,0)),""))</f>
        <v>Papa kg</v>
      </c>
      <c r="D139" s="107">
        <v>1</v>
      </c>
      <c r="E139" s="120">
        <f>IF($B139="","",IFERROR(INDEX(Productos!$F:$F,MATCH($B139,Productos!$A:$A,0)),0))</f>
        <v>2800</v>
      </c>
      <c r="F139" s="120">
        <f t="shared" si="6"/>
        <v>2800</v>
      </c>
      <c r="G139" s="120">
        <f>IF($B139="","",IFERROR(INDEX(Productos!$E:$E,MATCH($B139,Productos!$A:$A,0)),0))</f>
        <v>1900</v>
      </c>
      <c r="H139" s="120">
        <f t="shared" si="7"/>
        <v>1900</v>
      </c>
      <c r="I139" s="120">
        <f t="shared" si="8"/>
        <v>900</v>
      </c>
      <c r="J139" s="106" t="s">
        <v>106</v>
      </c>
      <c r="K139" s="106" t="s">
        <v>78</v>
      </c>
      <c r="L139" s="119" t="str">
        <f>IF($B139="","",IFERROR(INDEX(Productos!$C:$C,MATCH($B139,Productos!$A:$A,0)),""))</f>
        <v>Frutas y verduras</v>
      </c>
    </row>
    <row r="140" spans="1:12" ht="15" customHeight="1" x14ac:dyDescent="0.3">
      <c r="A140" s="105">
        <v>46214</v>
      </c>
      <c r="B140" s="106" t="s">
        <v>168</v>
      </c>
      <c r="C140" s="119" t="str">
        <f>IF($B140="","",IFERROR(INDEX(Productos!$B:$B,MATCH($B140,Productos!$A:$A,0)),""))</f>
        <v>Banano kg</v>
      </c>
      <c r="D140" s="107">
        <v>1</v>
      </c>
      <c r="E140" s="120">
        <f>IF($B140="","",IFERROR(INDEX(Productos!$F:$F,MATCH($B140,Productos!$A:$A,0)),0))</f>
        <v>3400</v>
      </c>
      <c r="F140" s="120">
        <f t="shared" si="6"/>
        <v>3400</v>
      </c>
      <c r="G140" s="120">
        <f>IF($B140="","",IFERROR(INDEX(Productos!$E:$E,MATCH($B140,Productos!$A:$A,0)),0))</f>
        <v>2200</v>
      </c>
      <c r="H140" s="120">
        <f t="shared" si="7"/>
        <v>2200</v>
      </c>
      <c r="I140" s="120">
        <f t="shared" si="8"/>
        <v>1200</v>
      </c>
      <c r="J140" s="106" t="s">
        <v>102</v>
      </c>
      <c r="K140" s="106" t="s">
        <v>78</v>
      </c>
      <c r="L140" s="119" t="str">
        <f>IF($B140="","",IFERROR(INDEX(Productos!$C:$C,MATCH($B140,Productos!$A:$A,0)),""))</f>
        <v>Frutas y verduras</v>
      </c>
    </row>
    <row r="141" spans="1:12" ht="15" customHeight="1" x14ac:dyDescent="0.3">
      <c r="A141" s="105">
        <v>46215</v>
      </c>
      <c r="B141" s="106" t="s">
        <v>121</v>
      </c>
      <c r="C141" s="119" t="str">
        <f>IF($B141="","",IFERROR(INDEX(Productos!$B:$B,MATCH($B141,Productos!$A:$A,0)),""))</f>
        <v>Arroz x 500 g</v>
      </c>
      <c r="D141" s="107">
        <v>1</v>
      </c>
      <c r="E141" s="120">
        <f>IF($B141="","",IFERROR(INDEX(Productos!$F:$F,MATCH($B141,Productos!$A:$A,0)),0))</f>
        <v>2600</v>
      </c>
      <c r="F141" s="120">
        <f t="shared" si="6"/>
        <v>2600</v>
      </c>
      <c r="G141" s="120">
        <f>IF($B141="","",IFERROR(INDEX(Productos!$E:$E,MATCH($B141,Productos!$A:$A,0)),0))</f>
        <v>1850</v>
      </c>
      <c r="H141" s="120">
        <f t="shared" si="7"/>
        <v>1850</v>
      </c>
      <c r="I141" s="120">
        <f t="shared" si="8"/>
        <v>750</v>
      </c>
      <c r="J141" s="106" t="s">
        <v>106</v>
      </c>
      <c r="K141" s="106" t="s">
        <v>78</v>
      </c>
      <c r="L141" s="119" t="str">
        <f>IF($B141="","",IFERROR(INDEX(Productos!$C:$C,MATCH($B141,Productos!$A:$A,0)),""))</f>
        <v>Granos y abarrotes</v>
      </c>
    </row>
    <row r="142" spans="1:12" ht="15" customHeight="1" x14ac:dyDescent="0.3">
      <c r="A142" s="105">
        <v>46215</v>
      </c>
      <c r="B142" s="106" t="s">
        <v>126</v>
      </c>
      <c r="C142" s="119" t="str">
        <f>IF($B142="","",IFERROR(INDEX(Productos!$B:$B,MATCH($B142,Productos!$A:$A,0)),""))</f>
        <v>Panela x 500 g</v>
      </c>
      <c r="D142" s="107">
        <v>1</v>
      </c>
      <c r="E142" s="120">
        <f>IF($B142="","",IFERROR(INDEX(Productos!$F:$F,MATCH($B142,Productos!$A:$A,0)),0))</f>
        <v>2900</v>
      </c>
      <c r="F142" s="120">
        <f t="shared" si="6"/>
        <v>2900</v>
      </c>
      <c r="G142" s="120">
        <f>IF($B142="","",IFERROR(INDEX(Productos!$E:$E,MATCH($B142,Productos!$A:$A,0)),0))</f>
        <v>2100</v>
      </c>
      <c r="H142" s="120">
        <f t="shared" si="7"/>
        <v>2100</v>
      </c>
      <c r="I142" s="120">
        <f t="shared" si="8"/>
        <v>800</v>
      </c>
      <c r="J142" s="106" t="s">
        <v>104</v>
      </c>
      <c r="K142" s="106" t="s">
        <v>78</v>
      </c>
      <c r="L142" s="119" t="str">
        <f>IF($B142="","",IFERROR(INDEX(Productos!$C:$C,MATCH($B142,Productos!$A:$A,0)),""))</f>
        <v>Granos y abarrotes</v>
      </c>
    </row>
    <row r="143" spans="1:12" ht="15" customHeight="1" x14ac:dyDescent="0.3">
      <c r="A143" s="105">
        <v>46215</v>
      </c>
      <c r="B143" s="106" t="s">
        <v>129</v>
      </c>
      <c r="C143" s="119" t="str">
        <f>IF($B143="","",IFERROR(INDEX(Productos!$B:$B,MATCH($B143,Productos!$A:$A,0)),""))</f>
        <v>Leche entera 1 L</v>
      </c>
      <c r="D143" s="107">
        <v>1</v>
      </c>
      <c r="E143" s="120">
        <f>IF($B143="","",IFERROR(INDEX(Productos!$F:$F,MATCH($B143,Productos!$A:$A,0)),0))</f>
        <v>3900</v>
      </c>
      <c r="F143" s="120">
        <f t="shared" si="6"/>
        <v>3900</v>
      </c>
      <c r="G143" s="120">
        <f>IF($B143="","",IFERROR(INDEX(Productos!$E:$E,MATCH($B143,Productos!$A:$A,0)),0))</f>
        <v>3100</v>
      </c>
      <c r="H143" s="120">
        <f t="shared" si="7"/>
        <v>3100</v>
      </c>
      <c r="I143" s="120">
        <f t="shared" si="8"/>
        <v>800</v>
      </c>
      <c r="J143" s="106" t="s">
        <v>108</v>
      </c>
      <c r="K143" s="106" t="s">
        <v>79</v>
      </c>
      <c r="L143" s="119" t="str">
        <f>IF($B143="","",IFERROR(INDEX(Productos!$C:$C,MATCH($B143,Productos!$A:$A,0)),""))</f>
        <v>Lácteos</v>
      </c>
    </row>
    <row r="144" spans="1:12" ht="15" customHeight="1" x14ac:dyDescent="0.3">
      <c r="A144" s="105">
        <v>46215</v>
      </c>
      <c r="B144" s="106" t="s">
        <v>134</v>
      </c>
      <c r="C144" s="119" t="str">
        <f>IF($B144="","",IFERROR(INDEX(Productos!$B:$B,MATCH($B144,Productos!$A:$A,0)),""))</f>
        <v>Yogur 1 L</v>
      </c>
      <c r="D144" s="107">
        <v>1</v>
      </c>
      <c r="E144" s="120">
        <f>IF($B144="","",IFERROR(INDEX(Productos!$F:$F,MATCH($B144,Productos!$A:$A,0)),0))</f>
        <v>7200</v>
      </c>
      <c r="F144" s="120">
        <f t="shared" si="6"/>
        <v>7200</v>
      </c>
      <c r="G144" s="120">
        <f>IF($B144="","",IFERROR(INDEX(Productos!$E:$E,MATCH($B144,Productos!$A:$A,0)),0))</f>
        <v>5400</v>
      </c>
      <c r="H144" s="120">
        <f t="shared" si="7"/>
        <v>5400</v>
      </c>
      <c r="I144" s="120">
        <f t="shared" si="8"/>
        <v>1800</v>
      </c>
      <c r="J144" s="106" t="s">
        <v>102</v>
      </c>
      <c r="K144" s="106" t="s">
        <v>78</v>
      </c>
      <c r="L144" s="119" t="str">
        <f>IF($B144="","",IFERROR(INDEX(Productos!$C:$C,MATCH($B144,Productos!$A:$A,0)),""))</f>
        <v>Lácteos</v>
      </c>
    </row>
    <row r="145" spans="1:12" ht="15" customHeight="1" x14ac:dyDescent="0.3">
      <c r="A145" s="105">
        <v>46215</v>
      </c>
      <c r="B145" s="106" t="s">
        <v>136</v>
      </c>
      <c r="C145" s="119" t="str">
        <f>IF($B145="","",IFERROR(INDEX(Productos!$B:$B,MATCH($B145,Productos!$A:$A,0)),""))</f>
        <v>Gaseosa 1,5 L</v>
      </c>
      <c r="D145" s="107">
        <v>3</v>
      </c>
      <c r="E145" s="120">
        <f>IF($B145="","",IFERROR(INDEX(Productos!$F:$F,MATCH($B145,Productos!$A:$A,0)),0))</f>
        <v>4500</v>
      </c>
      <c r="F145" s="120">
        <f t="shared" si="6"/>
        <v>13500</v>
      </c>
      <c r="G145" s="120">
        <f>IF($B145="","",IFERROR(INDEX(Productos!$E:$E,MATCH($B145,Productos!$A:$A,0)),0))</f>
        <v>3400</v>
      </c>
      <c r="H145" s="120">
        <f t="shared" si="7"/>
        <v>10200</v>
      </c>
      <c r="I145" s="120">
        <f t="shared" si="8"/>
        <v>3300</v>
      </c>
      <c r="J145" s="106" t="s">
        <v>104</v>
      </c>
      <c r="K145" s="106" t="s">
        <v>78</v>
      </c>
      <c r="L145" s="119" t="str">
        <f>IF($B145="","",IFERROR(INDEX(Productos!$C:$C,MATCH($B145,Productos!$A:$A,0)),""))</f>
        <v>Bebidas</v>
      </c>
    </row>
    <row r="146" spans="1:12" ht="15" customHeight="1" x14ac:dyDescent="0.3">
      <c r="A146" s="105">
        <v>46215</v>
      </c>
      <c r="B146" s="106" t="s">
        <v>139</v>
      </c>
      <c r="C146" s="119" t="str">
        <f>IF($B146="","",IFERROR(INDEX(Productos!$B:$B,MATCH($B146,Productos!$A:$A,0)),""))</f>
        <v>Agua 600 ml</v>
      </c>
      <c r="D146" s="107">
        <v>1</v>
      </c>
      <c r="E146" s="120">
        <f>IF($B146="","",IFERROR(INDEX(Productos!$F:$F,MATCH($B146,Productos!$A:$A,0)),0))</f>
        <v>1800</v>
      </c>
      <c r="F146" s="120">
        <f t="shared" si="6"/>
        <v>1800</v>
      </c>
      <c r="G146" s="120">
        <f>IF($B146="","",IFERROR(INDEX(Productos!$E:$E,MATCH($B146,Productos!$A:$A,0)),0))</f>
        <v>1200</v>
      </c>
      <c r="H146" s="120">
        <f t="shared" si="7"/>
        <v>1200</v>
      </c>
      <c r="I146" s="120">
        <f t="shared" si="8"/>
        <v>600</v>
      </c>
      <c r="J146" s="106" t="s">
        <v>102</v>
      </c>
      <c r="K146" s="106" t="s">
        <v>79</v>
      </c>
      <c r="L146" s="119" t="str">
        <f>IF($B146="","",IFERROR(INDEX(Productos!$C:$C,MATCH($B146,Productos!$A:$A,0)),""))</f>
        <v>Bebidas</v>
      </c>
    </row>
    <row r="147" spans="1:12" ht="15" customHeight="1" x14ac:dyDescent="0.3">
      <c r="A147" s="105">
        <v>46215</v>
      </c>
      <c r="B147" s="106" t="s">
        <v>141</v>
      </c>
      <c r="C147" s="119" t="str">
        <f>IF($B147="","",IFERROR(INDEX(Productos!$B:$B,MATCH($B147,Productos!$A:$A,0)),""))</f>
        <v>Cerveza lata 330 ml</v>
      </c>
      <c r="D147" s="107">
        <v>2</v>
      </c>
      <c r="E147" s="120">
        <f>IF($B147="","",IFERROR(INDEX(Productos!$F:$F,MATCH($B147,Productos!$A:$A,0)),0))</f>
        <v>3800</v>
      </c>
      <c r="F147" s="120">
        <f t="shared" si="6"/>
        <v>7600</v>
      </c>
      <c r="G147" s="120">
        <f>IF($B147="","",IFERROR(INDEX(Productos!$E:$E,MATCH($B147,Productos!$A:$A,0)),0))</f>
        <v>2600</v>
      </c>
      <c r="H147" s="120">
        <f t="shared" si="7"/>
        <v>5200</v>
      </c>
      <c r="I147" s="120">
        <f t="shared" si="8"/>
        <v>2400</v>
      </c>
      <c r="J147" s="106" t="s">
        <v>102</v>
      </c>
      <c r="K147" s="106" t="s">
        <v>79</v>
      </c>
      <c r="L147" s="119" t="str">
        <f>IF($B147="","",IFERROR(INDEX(Productos!$C:$C,MATCH($B147,Productos!$A:$A,0)),""))</f>
        <v>Bebidas</v>
      </c>
    </row>
    <row r="148" spans="1:12" ht="15" customHeight="1" x14ac:dyDescent="0.3">
      <c r="A148" s="105">
        <v>46215</v>
      </c>
      <c r="B148" s="106" t="s">
        <v>143</v>
      </c>
      <c r="C148" s="119" t="str">
        <f>IF($B148="","",IFERROR(INDEX(Productos!$B:$B,MATCH($B148,Productos!$A:$A,0)),""))</f>
        <v>Pan tajado 500 g</v>
      </c>
      <c r="D148" s="107">
        <v>2</v>
      </c>
      <c r="E148" s="120">
        <f>IF($B148="","",IFERROR(INDEX(Productos!$F:$F,MATCH($B148,Productos!$A:$A,0)),0))</f>
        <v>5200</v>
      </c>
      <c r="F148" s="120">
        <f t="shared" si="6"/>
        <v>10400</v>
      </c>
      <c r="G148" s="120">
        <f>IF($B148="","",IFERROR(INDEX(Productos!$E:$E,MATCH($B148,Productos!$A:$A,0)),0))</f>
        <v>3900</v>
      </c>
      <c r="H148" s="120">
        <f t="shared" si="7"/>
        <v>7800</v>
      </c>
      <c r="I148" s="120">
        <f t="shared" si="8"/>
        <v>2600</v>
      </c>
      <c r="J148" s="106" t="s">
        <v>104</v>
      </c>
      <c r="K148" s="106" t="s">
        <v>78</v>
      </c>
      <c r="L148" s="119" t="str">
        <f>IF($B148="","",IFERROR(INDEX(Productos!$C:$C,MATCH($B148,Productos!$A:$A,0)),""))</f>
        <v>Panadería</v>
      </c>
    </row>
    <row r="149" spans="1:12" ht="15" customHeight="1" x14ac:dyDescent="0.3">
      <c r="A149" s="105">
        <v>46215</v>
      </c>
      <c r="B149" s="106" t="s">
        <v>149</v>
      </c>
      <c r="C149" s="119" t="str">
        <f>IF($B149="","",IFERROR(INDEX(Productos!$B:$B,MATCH($B149,Productos!$A:$A,0)),""))</f>
        <v>Papas fritas 105 g</v>
      </c>
      <c r="D149" s="107">
        <v>1</v>
      </c>
      <c r="E149" s="120">
        <f>IF($B149="","",IFERROR(INDEX(Productos!$F:$F,MATCH($B149,Productos!$A:$A,0)),0))</f>
        <v>4800</v>
      </c>
      <c r="F149" s="120">
        <f t="shared" si="6"/>
        <v>4800</v>
      </c>
      <c r="G149" s="120">
        <f>IF($B149="","",IFERROR(INDEX(Productos!$E:$E,MATCH($B149,Productos!$A:$A,0)),0))</f>
        <v>3200</v>
      </c>
      <c r="H149" s="120">
        <f t="shared" si="7"/>
        <v>3200</v>
      </c>
      <c r="I149" s="120">
        <f t="shared" si="8"/>
        <v>1600</v>
      </c>
      <c r="J149" s="106" t="s">
        <v>106</v>
      </c>
      <c r="K149" s="106" t="s">
        <v>78</v>
      </c>
      <c r="L149" s="119" t="str">
        <f>IF($B149="","",IFERROR(INDEX(Productos!$C:$C,MATCH($B149,Productos!$A:$A,0)),""))</f>
        <v>Snacks</v>
      </c>
    </row>
    <row r="150" spans="1:12" ht="15" customHeight="1" x14ac:dyDescent="0.3">
      <c r="A150" s="105">
        <v>46215</v>
      </c>
      <c r="B150" s="106" t="s">
        <v>154</v>
      </c>
      <c r="C150" s="119" t="str">
        <f>IF($B150="","",IFERROR(INDEX(Productos!$B:$B,MATCH($B150,Productos!$A:$A,0)),""))</f>
        <v>Jabón de barra</v>
      </c>
      <c r="D150" s="107">
        <v>1</v>
      </c>
      <c r="E150" s="120">
        <f>IF($B150="","",IFERROR(INDEX(Productos!$F:$F,MATCH($B150,Productos!$A:$A,0)),0))</f>
        <v>2800</v>
      </c>
      <c r="F150" s="120">
        <f t="shared" si="6"/>
        <v>2800</v>
      </c>
      <c r="G150" s="120">
        <f>IF($B150="","",IFERROR(INDEX(Productos!$E:$E,MATCH($B150,Productos!$A:$A,0)),0))</f>
        <v>1900</v>
      </c>
      <c r="H150" s="120">
        <f t="shared" si="7"/>
        <v>1900</v>
      </c>
      <c r="I150" s="120">
        <f t="shared" si="8"/>
        <v>900</v>
      </c>
      <c r="J150" s="106" t="s">
        <v>108</v>
      </c>
      <c r="K150" s="106" t="s">
        <v>78</v>
      </c>
      <c r="L150" s="119" t="str">
        <f>IF($B150="","",IFERROR(INDEX(Productos!$C:$C,MATCH($B150,Productos!$A:$A,0)),""))</f>
        <v>Aseo personal</v>
      </c>
    </row>
    <row r="151" spans="1:12" ht="15" customHeight="1" x14ac:dyDescent="0.3">
      <c r="A151" s="105">
        <v>46215</v>
      </c>
      <c r="B151" s="106" t="s">
        <v>158</v>
      </c>
      <c r="C151" s="119" t="str">
        <f>IF($B151="","",IFERROR(INDEX(Productos!$B:$B,MATCH($B151,Productos!$A:$A,0)),""))</f>
        <v>Huevos AA x 12</v>
      </c>
      <c r="D151" s="107">
        <v>1</v>
      </c>
      <c r="E151" s="120">
        <f>IF($B151="","",IFERROR(INDEX(Productos!$F:$F,MATCH($B151,Productos!$A:$A,0)),0))</f>
        <v>12000</v>
      </c>
      <c r="F151" s="120">
        <f t="shared" si="6"/>
        <v>12000</v>
      </c>
      <c r="G151" s="120">
        <f>IF($B151="","",IFERROR(INDEX(Productos!$E:$E,MATCH($B151,Productos!$A:$A,0)),0))</f>
        <v>9200</v>
      </c>
      <c r="H151" s="120">
        <f t="shared" si="7"/>
        <v>9200</v>
      </c>
      <c r="I151" s="120">
        <f t="shared" si="8"/>
        <v>2800</v>
      </c>
      <c r="J151" s="106" t="s">
        <v>104</v>
      </c>
      <c r="K151" s="106" t="s">
        <v>79</v>
      </c>
      <c r="L151" s="119" t="str">
        <f>IF($B151="","",IFERROR(INDEX(Productos!$C:$C,MATCH($B151,Productos!$A:$A,0)),""))</f>
        <v>Perecederos</v>
      </c>
    </row>
    <row r="152" spans="1:12" ht="15" customHeight="1" x14ac:dyDescent="0.3">
      <c r="A152" s="105">
        <v>46215</v>
      </c>
      <c r="B152" s="106" t="s">
        <v>163</v>
      </c>
      <c r="C152" s="119" t="str">
        <f>IF($B152="","",IFERROR(INDEX(Productos!$B:$B,MATCH($B152,Productos!$A:$A,0)),""))</f>
        <v>Tomate kg</v>
      </c>
      <c r="D152" s="107">
        <v>1</v>
      </c>
      <c r="E152" s="120">
        <f>IF($B152="","",IFERROR(INDEX(Productos!$F:$F,MATCH($B152,Productos!$A:$A,0)),0))</f>
        <v>4200</v>
      </c>
      <c r="F152" s="120">
        <f t="shared" si="6"/>
        <v>4200</v>
      </c>
      <c r="G152" s="120">
        <f>IF($B152="","",IFERROR(INDEX(Productos!$E:$E,MATCH($B152,Productos!$A:$A,0)),0))</f>
        <v>2800</v>
      </c>
      <c r="H152" s="120">
        <f t="shared" si="7"/>
        <v>2800</v>
      </c>
      <c r="I152" s="120">
        <f t="shared" si="8"/>
        <v>1400</v>
      </c>
      <c r="J152" s="106" t="s">
        <v>104</v>
      </c>
      <c r="K152" s="106" t="s">
        <v>81</v>
      </c>
      <c r="L152" s="119" t="str">
        <f>IF($B152="","",IFERROR(INDEX(Productos!$C:$C,MATCH($B152,Productos!$A:$A,0)),""))</f>
        <v>Frutas y verduras</v>
      </c>
    </row>
    <row r="153" spans="1:12" ht="15" customHeight="1" x14ac:dyDescent="0.3">
      <c r="A153" s="105">
        <v>46215</v>
      </c>
      <c r="B153" s="106" t="s">
        <v>166</v>
      </c>
      <c r="C153" s="119" t="str">
        <f>IF($B153="","",IFERROR(INDEX(Productos!$B:$B,MATCH($B153,Productos!$A:$A,0)),""))</f>
        <v>Papa kg</v>
      </c>
      <c r="D153" s="107">
        <v>2</v>
      </c>
      <c r="E153" s="120">
        <f>IF($B153="","",IFERROR(INDEX(Productos!$F:$F,MATCH($B153,Productos!$A:$A,0)),0))</f>
        <v>2800</v>
      </c>
      <c r="F153" s="120">
        <f t="shared" si="6"/>
        <v>5600</v>
      </c>
      <c r="G153" s="120">
        <f>IF($B153="","",IFERROR(INDEX(Productos!$E:$E,MATCH($B153,Productos!$A:$A,0)),0))</f>
        <v>1900</v>
      </c>
      <c r="H153" s="120">
        <f t="shared" si="7"/>
        <v>3800</v>
      </c>
      <c r="I153" s="120">
        <f t="shared" si="8"/>
        <v>1800</v>
      </c>
      <c r="J153" s="106" t="s">
        <v>106</v>
      </c>
      <c r="K153" s="106" t="s">
        <v>79</v>
      </c>
      <c r="L153" s="119" t="str">
        <f>IF($B153="","",IFERROR(INDEX(Productos!$C:$C,MATCH($B153,Productos!$A:$A,0)),""))</f>
        <v>Frutas y verduras</v>
      </c>
    </row>
    <row r="154" spans="1:12" ht="15" customHeight="1" x14ac:dyDescent="0.3">
      <c r="A154" s="105">
        <v>46215</v>
      </c>
      <c r="B154" s="106" t="s">
        <v>168</v>
      </c>
      <c r="C154" s="119" t="str">
        <f>IF($B154="","",IFERROR(INDEX(Productos!$B:$B,MATCH($B154,Productos!$A:$A,0)),""))</f>
        <v>Banano kg</v>
      </c>
      <c r="D154" s="107">
        <v>1</v>
      </c>
      <c r="E154" s="120">
        <f>IF($B154="","",IFERROR(INDEX(Productos!$F:$F,MATCH($B154,Productos!$A:$A,0)),0))</f>
        <v>3400</v>
      </c>
      <c r="F154" s="120">
        <f t="shared" si="6"/>
        <v>3400</v>
      </c>
      <c r="G154" s="120">
        <f>IF($B154="","",IFERROR(INDEX(Productos!$E:$E,MATCH($B154,Productos!$A:$A,0)),0))</f>
        <v>2200</v>
      </c>
      <c r="H154" s="120">
        <f t="shared" si="7"/>
        <v>2200</v>
      </c>
      <c r="I154" s="120">
        <f t="shared" si="8"/>
        <v>1200</v>
      </c>
      <c r="J154" s="106" t="s">
        <v>106</v>
      </c>
      <c r="K154" s="106" t="s">
        <v>78</v>
      </c>
      <c r="L154" s="119" t="str">
        <f>IF($B154="","",IFERROR(INDEX(Productos!$C:$C,MATCH($B154,Productos!$A:$A,0)),""))</f>
        <v>Frutas y verduras</v>
      </c>
    </row>
    <row r="155" spans="1:12" ht="15" customHeight="1" x14ac:dyDescent="0.3">
      <c r="A155" s="105">
        <v>46216</v>
      </c>
      <c r="B155" s="106" t="s">
        <v>121</v>
      </c>
      <c r="C155" s="119" t="str">
        <f>IF($B155="","",IFERROR(INDEX(Productos!$B:$B,MATCH($B155,Productos!$A:$A,0)),""))</f>
        <v>Arroz x 500 g</v>
      </c>
      <c r="D155" s="107">
        <v>1</v>
      </c>
      <c r="E155" s="120">
        <f>IF($B155="","",IFERROR(INDEX(Productos!$F:$F,MATCH($B155,Productos!$A:$A,0)),0))</f>
        <v>2600</v>
      </c>
      <c r="F155" s="120">
        <f t="shared" si="6"/>
        <v>2600</v>
      </c>
      <c r="G155" s="120">
        <f>IF($B155="","",IFERROR(INDEX(Productos!$E:$E,MATCH($B155,Productos!$A:$A,0)),0))</f>
        <v>1850</v>
      </c>
      <c r="H155" s="120">
        <f t="shared" si="7"/>
        <v>1850</v>
      </c>
      <c r="I155" s="120">
        <f t="shared" si="8"/>
        <v>750</v>
      </c>
      <c r="J155" s="106" t="s">
        <v>108</v>
      </c>
      <c r="K155" s="106" t="s">
        <v>78</v>
      </c>
      <c r="L155" s="119" t="str">
        <f>IF($B155="","",IFERROR(INDEX(Productos!$C:$C,MATCH($B155,Productos!$A:$A,0)),""))</f>
        <v>Granos y abarrotes</v>
      </c>
    </row>
    <row r="156" spans="1:12" ht="15" customHeight="1" x14ac:dyDescent="0.3">
      <c r="A156" s="105">
        <v>46216</v>
      </c>
      <c r="B156" s="106" t="s">
        <v>126</v>
      </c>
      <c r="C156" s="119" t="str">
        <f>IF($B156="","",IFERROR(INDEX(Productos!$B:$B,MATCH($B156,Productos!$A:$A,0)),""))</f>
        <v>Panela x 500 g</v>
      </c>
      <c r="D156" s="107">
        <v>1</v>
      </c>
      <c r="E156" s="120">
        <f>IF($B156="","",IFERROR(INDEX(Productos!$F:$F,MATCH($B156,Productos!$A:$A,0)),0))</f>
        <v>2900</v>
      </c>
      <c r="F156" s="120">
        <f t="shared" si="6"/>
        <v>2900</v>
      </c>
      <c r="G156" s="120">
        <f>IF($B156="","",IFERROR(INDEX(Productos!$E:$E,MATCH($B156,Productos!$A:$A,0)),0))</f>
        <v>2100</v>
      </c>
      <c r="H156" s="120">
        <f t="shared" si="7"/>
        <v>2100</v>
      </c>
      <c r="I156" s="120">
        <f t="shared" si="8"/>
        <v>800</v>
      </c>
      <c r="J156" s="106" t="s">
        <v>102</v>
      </c>
      <c r="K156" s="106" t="s">
        <v>78</v>
      </c>
      <c r="L156" s="119" t="str">
        <f>IF($B156="","",IFERROR(INDEX(Productos!$C:$C,MATCH($B156,Productos!$A:$A,0)),""))</f>
        <v>Granos y abarrotes</v>
      </c>
    </row>
    <row r="157" spans="1:12" ht="15" customHeight="1" x14ac:dyDescent="0.3">
      <c r="A157" s="105">
        <v>46216</v>
      </c>
      <c r="B157" s="106" t="s">
        <v>129</v>
      </c>
      <c r="C157" s="119" t="str">
        <f>IF($B157="","",IFERROR(INDEX(Productos!$B:$B,MATCH($B157,Productos!$A:$A,0)),""))</f>
        <v>Leche entera 1 L</v>
      </c>
      <c r="D157" s="107">
        <v>2</v>
      </c>
      <c r="E157" s="120">
        <f>IF($B157="","",IFERROR(INDEX(Productos!$F:$F,MATCH($B157,Productos!$A:$A,0)),0))</f>
        <v>3900</v>
      </c>
      <c r="F157" s="120">
        <f t="shared" si="6"/>
        <v>7800</v>
      </c>
      <c r="G157" s="120">
        <f>IF($B157="","",IFERROR(INDEX(Productos!$E:$E,MATCH($B157,Productos!$A:$A,0)),0))</f>
        <v>3100</v>
      </c>
      <c r="H157" s="120">
        <f t="shared" si="7"/>
        <v>6200</v>
      </c>
      <c r="I157" s="120">
        <f t="shared" si="8"/>
        <v>1600</v>
      </c>
      <c r="J157" s="106" t="s">
        <v>106</v>
      </c>
      <c r="K157" s="106" t="s">
        <v>80</v>
      </c>
      <c r="L157" s="119" t="str">
        <f>IF($B157="","",IFERROR(INDEX(Productos!$C:$C,MATCH($B157,Productos!$A:$A,0)),""))</f>
        <v>Lácteos</v>
      </c>
    </row>
    <row r="158" spans="1:12" ht="15" customHeight="1" x14ac:dyDescent="0.3">
      <c r="A158" s="105">
        <v>46216</v>
      </c>
      <c r="B158" s="106" t="s">
        <v>136</v>
      </c>
      <c r="C158" s="119" t="str">
        <f>IF($B158="","",IFERROR(INDEX(Productos!$B:$B,MATCH($B158,Productos!$A:$A,0)),""))</f>
        <v>Gaseosa 1,5 L</v>
      </c>
      <c r="D158" s="107">
        <v>1</v>
      </c>
      <c r="E158" s="120">
        <f>IF($B158="","",IFERROR(INDEX(Productos!$F:$F,MATCH($B158,Productos!$A:$A,0)),0))</f>
        <v>4500</v>
      </c>
      <c r="F158" s="120">
        <f t="shared" si="6"/>
        <v>4500</v>
      </c>
      <c r="G158" s="120">
        <f>IF($B158="","",IFERROR(INDEX(Productos!$E:$E,MATCH($B158,Productos!$A:$A,0)),0))</f>
        <v>3400</v>
      </c>
      <c r="H158" s="120">
        <f t="shared" si="7"/>
        <v>3400</v>
      </c>
      <c r="I158" s="120">
        <f t="shared" si="8"/>
        <v>1100</v>
      </c>
      <c r="J158" s="106" t="s">
        <v>104</v>
      </c>
      <c r="K158" s="106" t="s">
        <v>79</v>
      </c>
      <c r="L158" s="119" t="str">
        <f>IF($B158="","",IFERROR(INDEX(Productos!$C:$C,MATCH($B158,Productos!$A:$A,0)),""))</f>
        <v>Bebidas</v>
      </c>
    </row>
    <row r="159" spans="1:12" ht="15" customHeight="1" x14ac:dyDescent="0.3">
      <c r="A159" s="105">
        <v>46216</v>
      </c>
      <c r="B159" s="106" t="s">
        <v>139</v>
      </c>
      <c r="C159" s="119" t="str">
        <f>IF($B159="","",IFERROR(INDEX(Productos!$B:$B,MATCH($B159,Productos!$A:$A,0)),""))</f>
        <v>Agua 600 ml</v>
      </c>
      <c r="D159" s="107">
        <v>2</v>
      </c>
      <c r="E159" s="120">
        <f>IF($B159="","",IFERROR(INDEX(Productos!$F:$F,MATCH($B159,Productos!$A:$A,0)),0))</f>
        <v>1800</v>
      </c>
      <c r="F159" s="120">
        <f t="shared" si="6"/>
        <v>3600</v>
      </c>
      <c r="G159" s="120">
        <f>IF($B159="","",IFERROR(INDEX(Productos!$E:$E,MATCH($B159,Productos!$A:$A,0)),0))</f>
        <v>1200</v>
      </c>
      <c r="H159" s="120">
        <f t="shared" si="7"/>
        <v>2400</v>
      </c>
      <c r="I159" s="120">
        <f t="shared" si="8"/>
        <v>1200</v>
      </c>
      <c r="J159" s="106" t="s">
        <v>102</v>
      </c>
      <c r="K159" s="106" t="s">
        <v>80</v>
      </c>
      <c r="L159" s="119" t="str">
        <f>IF($B159="","",IFERROR(INDEX(Productos!$C:$C,MATCH($B159,Productos!$A:$A,0)),""))</f>
        <v>Bebidas</v>
      </c>
    </row>
    <row r="160" spans="1:12" ht="15" customHeight="1" x14ac:dyDescent="0.3">
      <c r="A160" s="105">
        <v>46216</v>
      </c>
      <c r="B160" s="106" t="s">
        <v>141</v>
      </c>
      <c r="C160" s="119" t="str">
        <f>IF($B160="","",IFERROR(INDEX(Productos!$B:$B,MATCH($B160,Productos!$A:$A,0)),""))</f>
        <v>Cerveza lata 330 ml</v>
      </c>
      <c r="D160" s="107">
        <v>2</v>
      </c>
      <c r="E160" s="120">
        <f>IF($B160="","",IFERROR(INDEX(Productos!$F:$F,MATCH($B160,Productos!$A:$A,0)),0))</f>
        <v>3800</v>
      </c>
      <c r="F160" s="120">
        <f t="shared" si="6"/>
        <v>7600</v>
      </c>
      <c r="G160" s="120">
        <f>IF($B160="","",IFERROR(INDEX(Productos!$E:$E,MATCH($B160,Productos!$A:$A,0)),0))</f>
        <v>2600</v>
      </c>
      <c r="H160" s="120">
        <f t="shared" si="7"/>
        <v>5200</v>
      </c>
      <c r="I160" s="120">
        <f t="shared" si="8"/>
        <v>2400</v>
      </c>
      <c r="J160" s="106" t="s">
        <v>104</v>
      </c>
      <c r="K160" s="106" t="s">
        <v>79</v>
      </c>
      <c r="L160" s="119" t="str">
        <f>IF($B160="","",IFERROR(INDEX(Productos!$C:$C,MATCH($B160,Productos!$A:$A,0)),""))</f>
        <v>Bebidas</v>
      </c>
    </row>
    <row r="161" spans="1:12" ht="15" customHeight="1" x14ac:dyDescent="0.3">
      <c r="A161" s="105">
        <v>46216</v>
      </c>
      <c r="B161" s="106" t="s">
        <v>143</v>
      </c>
      <c r="C161" s="119" t="str">
        <f>IF($B161="","",IFERROR(INDEX(Productos!$B:$B,MATCH($B161,Productos!$A:$A,0)),""))</f>
        <v>Pan tajado 500 g</v>
      </c>
      <c r="D161" s="107">
        <v>3</v>
      </c>
      <c r="E161" s="120">
        <f>IF($B161="","",IFERROR(INDEX(Productos!$F:$F,MATCH($B161,Productos!$A:$A,0)),0))</f>
        <v>5200</v>
      </c>
      <c r="F161" s="120">
        <f t="shared" si="6"/>
        <v>15600</v>
      </c>
      <c r="G161" s="120">
        <f>IF($B161="","",IFERROR(INDEX(Productos!$E:$E,MATCH($B161,Productos!$A:$A,0)),0))</f>
        <v>3900</v>
      </c>
      <c r="H161" s="120">
        <f t="shared" si="7"/>
        <v>11700</v>
      </c>
      <c r="I161" s="120">
        <f t="shared" si="8"/>
        <v>3900</v>
      </c>
      <c r="J161" s="106" t="s">
        <v>104</v>
      </c>
      <c r="K161" s="106" t="s">
        <v>78</v>
      </c>
      <c r="L161" s="119" t="str">
        <f>IF($B161="","",IFERROR(INDEX(Productos!$C:$C,MATCH($B161,Productos!$A:$A,0)),""))</f>
        <v>Panadería</v>
      </c>
    </row>
    <row r="162" spans="1:12" ht="15" customHeight="1" x14ac:dyDescent="0.3">
      <c r="A162" s="105">
        <v>46216</v>
      </c>
      <c r="B162" s="106" t="s">
        <v>146</v>
      </c>
      <c r="C162" s="119" t="str">
        <f>IF($B162="","",IFERROR(INDEX(Productos!$B:$B,MATCH($B162,Productos!$A:$A,0)),""))</f>
        <v>Galletas surtidas</v>
      </c>
      <c r="D162" s="107">
        <v>4</v>
      </c>
      <c r="E162" s="120">
        <f>IF($B162="","",IFERROR(INDEX(Productos!$F:$F,MATCH($B162,Productos!$A:$A,0)),0))</f>
        <v>2700</v>
      </c>
      <c r="F162" s="120">
        <f t="shared" si="6"/>
        <v>10800</v>
      </c>
      <c r="G162" s="120">
        <f>IF($B162="","",IFERROR(INDEX(Productos!$E:$E,MATCH($B162,Productos!$A:$A,0)),0))</f>
        <v>1800</v>
      </c>
      <c r="H162" s="120">
        <f t="shared" si="7"/>
        <v>7200</v>
      </c>
      <c r="I162" s="120">
        <f t="shared" si="8"/>
        <v>3600</v>
      </c>
      <c r="J162" s="106" t="s">
        <v>106</v>
      </c>
      <c r="K162" s="106" t="s">
        <v>79</v>
      </c>
      <c r="L162" s="119" t="str">
        <f>IF($B162="","",IFERROR(INDEX(Productos!$C:$C,MATCH($B162,Productos!$A:$A,0)),""))</f>
        <v>Snacks</v>
      </c>
    </row>
    <row r="163" spans="1:12" ht="15" customHeight="1" x14ac:dyDescent="0.3">
      <c r="A163" s="105">
        <v>46216</v>
      </c>
      <c r="B163" s="106" t="s">
        <v>149</v>
      </c>
      <c r="C163" s="119" t="str">
        <f>IF($B163="","",IFERROR(INDEX(Productos!$B:$B,MATCH($B163,Productos!$A:$A,0)),""))</f>
        <v>Papas fritas 105 g</v>
      </c>
      <c r="D163" s="107">
        <v>1</v>
      </c>
      <c r="E163" s="120">
        <f>IF($B163="","",IFERROR(INDEX(Productos!$F:$F,MATCH($B163,Productos!$A:$A,0)),0))</f>
        <v>4800</v>
      </c>
      <c r="F163" s="120">
        <f t="shared" si="6"/>
        <v>4800</v>
      </c>
      <c r="G163" s="120">
        <f>IF($B163="","",IFERROR(INDEX(Productos!$E:$E,MATCH($B163,Productos!$A:$A,0)),0))</f>
        <v>3200</v>
      </c>
      <c r="H163" s="120">
        <f t="shared" si="7"/>
        <v>3200</v>
      </c>
      <c r="I163" s="120">
        <f t="shared" si="8"/>
        <v>1600</v>
      </c>
      <c r="J163" s="106" t="s">
        <v>102</v>
      </c>
      <c r="K163" s="106" t="s">
        <v>80</v>
      </c>
      <c r="L163" s="119" t="str">
        <f>IF($B163="","",IFERROR(INDEX(Productos!$C:$C,MATCH($B163,Productos!$A:$A,0)),""))</f>
        <v>Snacks</v>
      </c>
    </row>
    <row r="164" spans="1:12" ht="15" customHeight="1" x14ac:dyDescent="0.3">
      <c r="A164" s="105">
        <v>46216</v>
      </c>
      <c r="B164" s="106" t="s">
        <v>151</v>
      </c>
      <c r="C164" s="119" t="str">
        <f>IF($B164="","",IFERROR(INDEX(Productos!$B:$B,MATCH($B164,Productos!$A:$A,0)),""))</f>
        <v>Detergente 1 kg</v>
      </c>
      <c r="D164" s="107">
        <v>3</v>
      </c>
      <c r="E164" s="120">
        <f>IF($B164="","",IFERROR(INDEX(Productos!$F:$F,MATCH($B164,Productos!$A:$A,0)),0))</f>
        <v>9200</v>
      </c>
      <c r="F164" s="120">
        <f t="shared" si="6"/>
        <v>27600</v>
      </c>
      <c r="G164" s="120">
        <f>IF($B164="","",IFERROR(INDEX(Productos!$E:$E,MATCH($B164,Productos!$A:$A,0)),0))</f>
        <v>6800</v>
      </c>
      <c r="H164" s="120">
        <f t="shared" si="7"/>
        <v>20400</v>
      </c>
      <c r="I164" s="120">
        <f t="shared" si="8"/>
        <v>7200</v>
      </c>
      <c r="J164" s="106" t="s">
        <v>104</v>
      </c>
      <c r="K164" s="106" t="s">
        <v>79</v>
      </c>
      <c r="L164" s="119" t="str">
        <f>IF($B164="","",IFERROR(INDEX(Productos!$C:$C,MATCH($B164,Productos!$A:$A,0)),""))</f>
        <v>Aseo hogar</v>
      </c>
    </row>
    <row r="165" spans="1:12" ht="15" customHeight="1" x14ac:dyDescent="0.3">
      <c r="A165" s="105">
        <v>46216</v>
      </c>
      <c r="B165" s="106" t="s">
        <v>158</v>
      </c>
      <c r="C165" s="119" t="str">
        <f>IF($B165="","",IFERROR(INDEX(Productos!$B:$B,MATCH($B165,Productos!$A:$A,0)),""))</f>
        <v>Huevos AA x 12</v>
      </c>
      <c r="D165" s="107">
        <v>1</v>
      </c>
      <c r="E165" s="120">
        <f>IF($B165="","",IFERROR(INDEX(Productos!$F:$F,MATCH($B165,Productos!$A:$A,0)),0))</f>
        <v>12000</v>
      </c>
      <c r="F165" s="120">
        <f t="shared" si="6"/>
        <v>12000</v>
      </c>
      <c r="G165" s="120">
        <f>IF($B165="","",IFERROR(INDEX(Productos!$E:$E,MATCH($B165,Productos!$A:$A,0)),0))</f>
        <v>9200</v>
      </c>
      <c r="H165" s="120">
        <f t="shared" si="7"/>
        <v>9200</v>
      </c>
      <c r="I165" s="120">
        <f t="shared" si="8"/>
        <v>2800</v>
      </c>
      <c r="J165" s="106" t="s">
        <v>104</v>
      </c>
      <c r="K165" s="106" t="s">
        <v>79</v>
      </c>
      <c r="L165" s="119" t="str">
        <f>IF($B165="","",IFERROR(INDEX(Productos!$C:$C,MATCH($B165,Productos!$A:$A,0)),""))</f>
        <v>Perecederos</v>
      </c>
    </row>
    <row r="166" spans="1:12" ht="15" customHeight="1" x14ac:dyDescent="0.3">
      <c r="A166" s="105">
        <v>46216</v>
      </c>
      <c r="B166" s="106" t="s">
        <v>161</v>
      </c>
      <c r="C166" s="119" t="str">
        <f>IF($B166="","",IFERROR(INDEX(Productos!$B:$B,MATCH($B166,Productos!$A:$A,0)),""))</f>
        <v>Pollo entero kg</v>
      </c>
      <c r="D166" s="107">
        <v>2</v>
      </c>
      <c r="E166" s="120">
        <f>IF($B166="","",IFERROR(INDEX(Productos!$F:$F,MATCH($B166,Productos!$A:$A,0)),0))</f>
        <v>14800</v>
      </c>
      <c r="F166" s="120">
        <f t="shared" si="6"/>
        <v>29600</v>
      </c>
      <c r="G166" s="120">
        <f>IF($B166="","",IFERROR(INDEX(Productos!$E:$E,MATCH($B166,Productos!$A:$A,0)),0))</f>
        <v>11500</v>
      </c>
      <c r="H166" s="120">
        <f t="shared" si="7"/>
        <v>23000</v>
      </c>
      <c r="I166" s="120">
        <f t="shared" si="8"/>
        <v>6600</v>
      </c>
      <c r="J166" s="106" t="s">
        <v>106</v>
      </c>
      <c r="K166" s="106" t="s">
        <v>78</v>
      </c>
      <c r="L166" s="119" t="str">
        <f>IF($B166="","",IFERROR(INDEX(Productos!$C:$C,MATCH($B166,Productos!$A:$A,0)),""))</f>
        <v>Perecederos</v>
      </c>
    </row>
    <row r="167" spans="1:12" ht="15" customHeight="1" x14ac:dyDescent="0.3">
      <c r="A167" s="105">
        <v>46216</v>
      </c>
      <c r="B167" s="106" t="s">
        <v>166</v>
      </c>
      <c r="C167" s="119" t="str">
        <f>IF($B167="","",IFERROR(INDEX(Productos!$B:$B,MATCH($B167,Productos!$A:$A,0)),""))</f>
        <v>Papa kg</v>
      </c>
      <c r="D167" s="107">
        <v>2</v>
      </c>
      <c r="E167" s="120">
        <f>IF($B167="","",IFERROR(INDEX(Productos!$F:$F,MATCH($B167,Productos!$A:$A,0)),0))</f>
        <v>2800</v>
      </c>
      <c r="F167" s="120">
        <f t="shared" si="6"/>
        <v>5600</v>
      </c>
      <c r="G167" s="120">
        <f>IF($B167="","",IFERROR(INDEX(Productos!$E:$E,MATCH($B167,Productos!$A:$A,0)),0))</f>
        <v>1900</v>
      </c>
      <c r="H167" s="120">
        <f t="shared" si="7"/>
        <v>3800</v>
      </c>
      <c r="I167" s="120">
        <f t="shared" si="8"/>
        <v>1800</v>
      </c>
      <c r="J167" s="106" t="s">
        <v>108</v>
      </c>
      <c r="K167" s="106" t="s">
        <v>79</v>
      </c>
      <c r="L167" s="119" t="str">
        <f>IF($B167="","",IFERROR(INDEX(Productos!$C:$C,MATCH($B167,Productos!$A:$A,0)),""))</f>
        <v>Frutas y verduras</v>
      </c>
    </row>
    <row r="168" spans="1:12" ht="15" customHeight="1" x14ac:dyDescent="0.3">
      <c r="A168" s="105">
        <v>46217</v>
      </c>
      <c r="B168" s="106" t="s">
        <v>129</v>
      </c>
      <c r="C168" s="119" t="str">
        <f>IF($B168="","",IFERROR(INDEX(Productos!$B:$B,MATCH($B168,Productos!$A:$A,0)),""))</f>
        <v>Leche entera 1 L</v>
      </c>
      <c r="D168" s="107">
        <v>1</v>
      </c>
      <c r="E168" s="120">
        <f>IF($B168="","",IFERROR(INDEX(Productos!$F:$F,MATCH($B168,Productos!$A:$A,0)),0))</f>
        <v>3900</v>
      </c>
      <c r="F168" s="120">
        <f t="shared" si="6"/>
        <v>3900</v>
      </c>
      <c r="G168" s="120">
        <f>IF($B168="","",IFERROR(INDEX(Productos!$E:$E,MATCH($B168,Productos!$A:$A,0)),0))</f>
        <v>3100</v>
      </c>
      <c r="H168" s="120">
        <f t="shared" si="7"/>
        <v>3100</v>
      </c>
      <c r="I168" s="120">
        <f t="shared" si="8"/>
        <v>800</v>
      </c>
      <c r="J168" s="106" t="s">
        <v>106</v>
      </c>
      <c r="K168" s="106" t="s">
        <v>80</v>
      </c>
      <c r="L168" s="119" t="str">
        <f>IF($B168="","",IFERROR(INDEX(Productos!$C:$C,MATCH($B168,Productos!$A:$A,0)),""))</f>
        <v>Lácteos</v>
      </c>
    </row>
    <row r="169" spans="1:12" ht="15" customHeight="1" x14ac:dyDescent="0.3">
      <c r="A169" s="105">
        <v>46217</v>
      </c>
      <c r="B169" s="106" t="s">
        <v>132</v>
      </c>
      <c r="C169" s="119" t="str">
        <f>IF($B169="","",IFERROR(INDEX(Productos!$B:$B,MATCH($B169,Productos!$A:$A,0)),""))</f>
        <v>Queso campesino 500 g</v>
      </c>
      <c r="D169" s="107">
        <v>3</v>
      </c>
      <c r="E169" s="120">
        <f>IF($B169="","",IFERROR(INDEX(Productos!$F:$F,MATCH($B169,Productos!$A:$A,0)),0))</f>
        <v>13500</v>
      </c>
      <c r="F169" s="120">
        <f t="shared" si="6"/>
        <v>40500</v>
      </c>
      <c r="G169" s="120">
        <f>IF($B169="","",IFERROR(INDEX(Productos!$E:$E,MATCH($B169,Productos!$A:$A,0)),0))</f>
        <v>9800</v>
      </c>
      <c r="H169" s="120">
        <f t="shared" si="7"/>
        <v>29400</v>
      </c>
      <c r="I169" s="120">
        <f t="shared" si="8"/>
        <v>11100</v>
      </c>
      <c r="J169" s="106" t="s">
        <v>104</v>
      </c>
      <c r="K169" s="106" t="s">
        <v>78</v>
      </c>
      <c r="L169" s="119" t="str">
        <f>IF($B169="","",IFERROR(INDEX(Productos!$C:$C,MATCH($B169,Productos!$A:$A,0)),""))</f>
        <v>Lácteos</v>
      </c>
    </row>
    <row r="170" spans="1:12" ht="15" customHeight="1" x14ac:dyDescent="0.3">
      <c r="A170" s="105">
        <v>46217</v>
      </c>
      <c r="B170" s="106" t="s">
        <v>134</v>
      </c>
      <c r="C170" s="119" t="str">
        <f>IF($B170="","",IFERROR(INDEX(Productos!$B:$B,MATCH($B170,Productos!$A:$A,0)),""))</f>
        <v>Yogur 1 L</v>
      </c>
      <c r="D170" s="107">
        <v>2</v>
      </c>
      <c r="E170" s="120">
        <f>IF($B170="","",IFERROR(INDEX(Productos!$F:$F,MATCH($B170,Productos!$A:$A,0)),0))</f>
        <v>7200</v>
      </c>
      <c r="F170" s="120">
        <f t="shared" si="6"/>
        <v>14400</v>
      </c>
      <c r="G170" s="120">
        <f>IF($B170="","",IFERROR(INDEX(Productos!$E:$E,MATCH($B170,Productos!$A:$A,0)),0))</f>
        <v>5400</v>
      </c>
      <c r="H170" s="120">
        <f t="shared" si="7"/>
        <v>10800</v>
      </c>
      <c r="I170" s="120">
        <f t="shared" si="8"/>
        <v>3600</v>
      </c>
      <c r="J170" s="106" t="s">
        <v>104</v>
      </c>
      <c r="K170" s="106" t="s">
        <v>78</v>
      </c>
      <c r="L170" s="119" t="str">
        <f>IF($B170="","",IFERROR(INDEX(Productos!$C:$C,MATCH($B170,Productos!$A:$A,0)),""))</f>
        <v>Lácteos</v>
      </c>
    </row>
    <row r="171" spans="1:12" ht="15" customHeight="1" x14ac:dyDescent="0.3">
      <c r="A171" s="105">
        <v>46217</v>
      </c>
      <c r="B171" s="106" t="s">
        <v>136</v>
      </c>
      <c r="C171" s="119" t="str">
        <f>IF($B171="","",IFERROR(INDEX(Productos!$B:$B,MATCH($B171,Productos!$A:$A,0)),""))</f>
        <v>Gaseosa 1,5 L</v>
      </c>
      <c r="D171" s="107">
        <v>1</v>
      </c>
      <c r="E171" s="120">
        <f>IF($B171="","",IFERROR(INDEX(Productos!$F:$F,MATCH($B171,Productos!$A:$A,0)),0))</f>
        <v>4500</v>
      </c>
      <c r="F171" s="120">
        <f t="shared" si="6"/>
        <v>4500</v>
      </c>
      <c r="G171" s="120">
        <f>IF($B171="","",IFERROR(INDEX(Productos!$E:$E,MATCH($B171,Productos!$A:$A,0)),0))</f>
        <v>3400</v>
      </c>
      <c r="H171" s="120">
        <f t="shared" si="7"/>
        <v>3400</v>
      </c>
      <c r="I171" s="120">
        <f t="shared" si="8"/>
        <v>1100</v>
      </c>
      <c r="J171" s="106" t="s">
        <v>104</v>
      </c>
      <c r="K171" s="106" t="s">
        <v>78</v>
      </c>
      <c r="L171" s="119" t="str">
        <f>IF($B171="","",IFERROR(INDEX(Productos!$C:$C,MATCH($B171,Productos!$A:$A,0)),""))</f>
        <v>Bebidas</v>
      </c>
    </row>
    <row r="172" spans="1:12" ht="15" customHeight="1" x14ac:dyDescent="0.3">
      <c r="A172" s="105">
        <v>46217</v>
      </c>
      <c r="B172" s="106" t="s">
        <v>139</v>
      </c>
      <c r="C172" s="119" t="str">
        <f>IF($B172="","",IFERROR(INDEX(Productos!$B:$B,MATCH($B172,Productos!$A:$A,0)),""))</f>
        <v>Agua 600 ml</v>
      </c>
      <c r="D172" s="107">
        <v>1</v>
      </c>
      <c r="E172" s="120">
        <f>IF($B172="","",IFERROR(INDEX(Productos!$F:$F,MATCH($B172,Productos!$A:$A,0)),0))</f>
        <v>1800</v>
      </c>
      <c r="F172" s="120">
        <f t="shared" si="6"/>
        <v>1800</v>
      </c>
      <c r="G172" s="120">
        <f>IF($B172="","",IFERROR(INDEX(Productos!$E:$E,MATCH($B172,Productos!$A:$A,0)),0))</f>
        <v>1200</v>
      </c>
      <c r="H172" s="120">
        <f t="shared" si="7"/>
        <v>1200</v>
      </c>
      <c r="I172" s="120">
        <f t="shared" si="8"/>
        <v>600</v>
      </c>
      <c r="J172" s="106" t="s">
        <v>102</v>
      </c>
      <c r="K172" s="106" t="s">
        <v>79</v>
      </c>
      <c r="L172" s="119" t="str">
        <f>IF($B172="","",IFERROR(INDEX(Productos!$C:$C,MATCH($B172,Productos!$A:$A,0)),""))</f>
        <v>Bebidas</v>
      </c>
    </row>
    <row r="173" spans="1:12" ht="15" customHeight="1" x14ac:dyDescent="0.3">
      <c r="A173" s="105">
        <v>46217</v>
      </c>
      <c r="B173" s="106" t="s">
        <v>146</v>
      </c>
      <c r="C173" s="119" t="str">
        <f>IF($B173="","",IFERROR(INDEX(Productos!$B:$B,MATCH($B173,Productos!$A:$A,0)),""))</f>
        <v>Galletas surtidas</v>
      </c>
      <c r="D173" s="107">
        <v>4</v>
      </c>
      <c r="E173" s="120">
        <f>IF($B173="","",IFERROR(INDEX(Productos!$F:$F,MATCH($B173,Productos!$A:$A,0)),0))</f>
        <v>2700</v>
      </c>
      <c r="F173" s="120">
        <f t="shared" si="6"/>
        <v>10800</v>
      </c>
      <c r="G173" s="120">
        <f>IF($B173="","",IFERROR(INDEX(Productos!$E:$E,MATCH($B173,Productos!$A:$A,0)),0))</f>
        <v>1800</v>
      </c>
      <c r="H173" s="120">
        <f t="shared" si="7"/>
        <v>7200</v>
      </c>
      <c r="I173" s="120">
        <f t="shared" si="8"/>
        <v>3600</v>
      </c>
      <c r="J173" s="106" t="s">
        <v>106</v>
      </c>
      <c r="K173" s="106" t="s">
        <v>81</v>
      </c>
      <c r="L173" s="119" t="str">
        <f>IF($B173="","",IFERROR(INDEX(Productos!$C:$C,MATCH($B173,Productos!$A:$A,0)),""))</f>
        <v>Snacks</v>
      </c>
    </row>
    <row r="174" spans="1:12" ht="15" customHeight="1" x14ac:dyDescent="0.3">
      <c r="A174" s="105">
        <v>46217</v>
      </c>
      <c r="B174" s="106" t="s">
        <v>149</v>
      </c>
      <c r="C174" s="119" t="str">
        <f>IF($B174="","",IFERROR(INDEX(Productos!$B:$B,MATCH($B174,Productos!$A:$A,0)),""))</f>
        <v>Papas fritas 105 g</v>
      </c>
      <c r="D174" s="107">
        <v>2</v>
      </c>
      <c r="E174" s="120">
        <f>IF($B174="","",IFERROR(INDEX(Productos!$F:$F,MATCH($B174,Productos!$A:$A,0)),0))</f>
        <v>4800</v>
      </c>
      <c r="F174" s="120">
        <f t="shared" si="6"/>
        <v>9600</v>
      </c>
      <c r="G174" s="120">
        <f>IF($B174="","",IFERROR(INDEX(Productos!$E:$E,MATCH($B174,Productos!$A:$A,0)),0))</f>
        <v>3200</v>
      </c>
      <c r="H174" s="120">
        <f t="shared" si="7"/>
        <v>6400</v>
      </c>
      <c r="I174" s="120">
        <f t="shared" si="8"/>
        <v>3200</v>
      </c>
      <c r="J174" s="106" t="s">
        <v>106</v>
      </c>
      <c r="K174" s="106" t="s">
        <v>81</v>
      </c>
      <c r="L174" s="119" t="str">
        <f>IF($B174="","",IFERROR(INDEX(Productos!$C:$C,MATCH($B174,Productos!$A:$A,0)),""))</f>
        <v>Snacks</v>
      </c>
    </row>
    <row r="175" spans="1:12" ht="15" customHeight="1" x14ac:dyDescent="0.3">
      <c r="A175" s="105">
        <v>46217</v>
      </c>
      <c r="B175" s="106" t="s">
        <v>154</v>
      </c>
      <c r="C175" s="119" t="str">
        <f>IF($B175="","",IFERROR(INDEX(Productos!$B:$B,MATCH($B175,Productos!$A:$A,0)),""))</f>
        <v>Jabón de barra</v>
      </c>
      <c r="D175" s="107">
        <v>1</v>
      </c>
      <c r="E175" s="120">
        <f>IF($B175="","",IFERROR(INDEX(Productos!$F:$F,MATCH($B175,Productos!$A:$A,0)),0))</f>
        <v>2800</v>
      </c>
      <c r="F175" s="120">
        <f t="shared" si="6"/>
        <v>2800</v>
      </c>
      <c r="G175" s="120">
        <f>IF($B175="","",IFERROR(INDEX(Productos!$E:$E,MATCH($B175,Productos!$A:$A,0)),0))</f>
        <v>1900</v>
      </c>
      <c r="H175" s="120">
        <f t="shared" si="7"/>
        <v>1900</v>
      </c>
      <c r="I175" s="120">
        <f t="shared" si="8"/>
        <v>900</v>
      </c>
      <c r="J175" s="106" t="s">
        <v>106</v>
      </c>
      <c r="K175" s="106" t="s">
        <v>79</v>
      </c>
      <c r="L175" s="119" t="str">
        <f>IF($B175="","",IFERROR(INDEX(Productos!$C:$C,MATCH($B175,Productos!$A:$A,0)),""))</f>
        <v>Aseo personal</v>
      </c>
    </row>
    <row r="176" spans="1:12" ht="15" customHeight="1" x14ac:dyDescent="0.3">
      <c r="A176" s="105">
        <v>46217</v>
      </c>
      <c r="B176" s="106" t="s">
        <v>156</v>
      </c>
      <c r="C176" s="119" t="str">
        <f>IF($B176="","",IFERROR(INDEX(Productos!$B:$B,MATCH($B176,Productos!$A:$A,0)),""))</f>
        <v>Papel higiénico x 4</v>
      </c>
      <c r="D176" s="107">
        <v>3</v>
      </c>
      <c r="E176" s="120">
        <f>IF($B176="","",IFERROR(INDEX(Productos!$F:$F,MATCH($B176,Productos!$A:$A,0)),0))</f>
        <v>7800</v>
      </c>
      <c r="F176" s="120">
        <f t="shared" si="6"/>
        <v>23400</v>
      </c>
      <c r="G176" s="120">
        <f>IF($B176="","",IFERROR(INDEX(Productos!$E:$E,MATCH($B176,Productos!$A:$A,0)),0))</f>
        <v>5600</v>
      </c>
      <c r="H176" s="120">
        <f t="shared" si="7"/>
        <v>16800</v>
      </c>
      <c r="I176" s="120">
        <f t="shared" si="8"/>
        <v>6600</v>
      </c>
      <c r="J176" s="106" t="s">
        <v>102</v>
      </c>
      <c r="K176" s="106" t="s">
        <v>79</v>
      </c>
      <c r="L176" s="119" t="str">
        <f>IF($B176="","",IFERROR(INDEX(Productos!$C:$C,MATCH($B176,Productos!$A:$A,0)),""))</f>
        <v>Aseo hogar</v>
      </c>
    </row>
    <row r="177" spans="1:12" ht="15" customHeight="1" x14ac:dyDescent="0.3">
      <c r="A177" s="105">
        <v>46217</v>
      </c>
      <c r="B177" s="106" t="s">
        <v>163</v>
      </c>
      <c r="C177" s="119" t="str">
        <f>IF($B177="","",IFERROR(INDEX(Productos!$B:$B,MATCH($B177,Productos!$A:$A,0)),""))</f>
        <v>Tomate kg</v>
      </c>
      <c r="D177" s="107">
        <v>2</v>
      </c>
      <c r="E177" s="120">
        <f>IF($B177="","",IFERROR(INDEX(Productos!$F:$F,MATCH($B177,Productos!$A:$A,0)),0))</f>
        <v>4200</v>
      </c>
      <c r="F177" s="120">
        <f t="shared" si="6"/>
        <v>8400</v>
      </c>
      <c r="G177" s="120">
        <f>IF($B177="","",IFERROR(INDEX(Productos!$E:$E,MATCH($B177,Productos!$A:$A,0)),0))</f>
        <v>2800</v>
      </c>
      <c r="H177" s="120">
        <f t="shared" si="7"/>
        <v>5600</v>
      </c>
      <c r="I177" s="120">
        <f t="shared" si="8"/>
        <v>2800</v>
      </c>
      <c r="J177" s="106" t="s">
        <v>102</v>
      </c>
      <c r="K177" s="106" t="s">
        <v>79</v>
      </c>
      <c r="L177" s="119" t="str">
        <f>IF($B177="","",IFERROR(INDEX(Productos!$C:$C,MATCH($B177,Productos!$A:$A,0)),""))</f>
        <v>Frutas y verduras</v>
      </c>
    </row>
    <row r="178" spans="1:12" ht="15" customHeight="1" x14ac:dyDescent="0.3">
      <c r="A178" s="105">
        <v>46218</v>
      </c>
      <c r="B178" s="106" t="s">
        <v>121</v>
      </c>
      <c r="C178" s="119" t="str">
        <f>IF($B178="","",IFERROR(INDEX(Productos!$B:$B,MATCH($B178,Productos!$A:$A,0)),""))</f>
        <v>Arroz x 500 g</v>
      </c>
      <c r="D178" s="107">
        <v>1</v>
      </c>
      <c r="E178" s="120">
        <f>IF($B178="","",IFERROR(INDEX(Productos!$F:$F,MATCH($B178,Productos!$A:$A,0)),0))</f>
        <v>2600</v>
      </c>
      <c r="F178" s="120">
        <f t="shared" si="6"/>
        <v>2600</v>
      </c>
      <c r="G178" s="120">
        <f>IF($B178="","",IFERROR(INDEX(Productos!$E:$E,MATCH($B178,Productos!$A:$A,0)),0))</f>
        <v>1850</v>
      </c>
      <c r="H178" s="120">
        <f t="shared" si="7"/>
        <v>1850</v>
      </c>
      <c r="I178" s="120">
        <f t="shared" si="8"/>
        <v>750</v>
      </c>
      <c r="J178" s="106" t="s">
        <v>108</v>
      </c>
      <c r="K178" s="106" t="s">
        <v>81</v>
      </c>
      <c r="L178" s="119" t="str">
        <f>IF($B178="","",IFERROR(INDEX(Productos!$C:$C,MATCH($B178,Productos!$A:$A,0)),""))</f>
        <v>Granos y abarrotes</v>
      </c>
    </row>
    <row r="179" spans="1:12" ht="15" customHeight="1" x14ac:dyDescent="0.3">
      <c r="A179" s="105">
        <v>46218</v>
      </c>
      <c r="B179" s="106" t="s">
        <v>129</v>
      </c>
      <c r="C179" s="119" t="str">
        <f>IF($B179="","",IFERROR(INDEX(Productos!$B:$B,MATCH($B179,Productos!$A:$A,0)),""))</f>
        <v>Leche entera 1 L</v>
      </c>
      <c r="D179" s="107">
        <v>2</v>
      </c>
      <c r="E179" s="120">
        <f>IF($B179="","",IFERROR(INDEX(Productos!$F:$F,MATCH($B179,Productos!$A:$A,0)),0))</f>
        <v>3900</v>
      </c>
      <c r="F179" s="120">
        <f t="shared" si="6"/>
        <v>7800</v>
      </c>
      <c r="G179" s="120">
        <f>IF($B179="","",IFERROR(INDEX(Productos!$E:$E,MATCH($B179,Productos!$A:$A,0)),0))</f>
        <v>3100</v>
      </c>
      <c r="H179" s="120">
        <f t="shared" si="7"/>
        <v>6200</v>
      </c>
      <c r="I179" s="120">
        <f t="shared" si="8"/>
        <v>1600</v>
      </c>
      <c r="J179" s="106" t="s">
        <v>108</v>
      </c>
      <c r="K179" s="106" t="s">
        <v>78</v>
      </c>
      <c r="L179" s="119" t="str">
        <f>IF($B179="","",IFERROR(INDEX(Productos!$C:$C,MATCH($B179,Productos!$A:$A,0)),""))</f>
        <v>Lácteos</v>
      </c>
    </row>
    <row r="180" spans="1:12" ht="15" customHeight="1" x14ac:dyDescent="0.3">
      <c r="A180" s="105">
        <v>46218</v>
      </c>
      <c r="B180" s="106" t="s">
        <v>134</v>
      </c>
      <c r="C180" s="119" t="str">
        <f>IF($B180="","",IFERROR(INDEX(Productos!$B:$B,MATCH($B180,Productos!$A:$A,0)),""))</f>
        <v>Yogur 1 L</v>
      </c>
      <c r="D180" s="107">
        <v>1</v>
      </c>
      <c r="E180" s="120">
        <f>IF($B180="","",IFERROR(INDEX(Productos!$F:$F,MATCH($B180,Productos!$A:$A,0)),0))</f>
        <v>7200</v>
      </c>
      <c r="F180" s="120">
        <f t="shared" si="6"/>
        <v>7200</v>
      </c>
      <c r="G180" s="120">
        <f>IF($B180="","",IFERROR(INDEX(Productos!$E:$E,MATCH($B180,Productos!$A:$A,0)),0))</f>
        <v>5400</v>
      </c>
      <c r="H180" s="120">
        <f t="shared" si="7"/>
        <v>5400</v>
      </c>
      <c r="I180" s="120">
        <f t="shared" si="8"/>
        <v>1800</v>
      </c>
      <c r="J180" s="106" t="s">
        <v>106</v>
      </c>
      <c r="K180" s="106" t="s">
        <v>78</v>
      </c>
      <c r="L180" s="119" t="str">
        <f>IF($B180="","",IFERROR(INDEX(Productos!$C:$C,MATCH($B180,Productos!$A:$A,0)),""))</f>
        <v>Lácteos</v>
      </c>
    </row>
    <row r="181" spans="1:12" ht="15" customHeight="1" x14ac:dyDescent="0.3">
      <c r="A181" s="105">
        <v>46218</v>
      </c>
      <c r="B181" s="106" t="s">
        <v>136</v>
      </c>
      <c r="C181" s="119" t="str">
        <f>IF($B181="","",IFERROR(INDEX(Productos!$B:$B,MATCH($B181,Productos!$A:$A,0)),""))</f>
        <v>Gaseosa 1,5 L</v>
      </c>
      <c r="D181" s="107">
        <v>1</v>
      </c>
      <c r="E181" s="120">
        <f>IF($B181="","",IFERROR(INDEX(Productos!$F:$F,MATCH($B181,Productos!$A:$A,0)),0))</f>
        <v>4500</v>
      </c>
      <c r="F181" s="120">
        <f t="shared" si="6"/>
        <v>4500</v>
      </c>
      <c r="G181" s="120">
        <f>IF($B181="","",IFERROR(INDEX(Productos!$E:$E,MATCH($B181,Productos!$A:$A,0)),0))</f>
        <v>3400</v>
      </c>
      <c r="H181" s="120">
        <f t="shared" si="7"/>
        <v>3400</v>
      </c>
      <c r="I181" s="120">
        <f t="shared" si="8"/>
        <v>1100</v>
      </c>
      <c r="J181" s="106" t="s">
        <v>102</v>
      </c>
      <c r="K181" s="106" t="s">
        <v>78</v>
      </c>
      <c r="L181" s="119" t="str">
        <f>IF($B181="","",IFERROR(INDEX(Productos!$C:$C,MATCH($B181,Productos!$A:$A,0)),""))</f>
        <v>Bebidas</v>
      </c>
    </row>
    <row r="182" spans="1:12" ht="15" customHeight="1" x14ac:dyDescent="0.3">
      <c r="A182" s="105">
        <v>46218</v>
      </c>
      <c r="B182" s="106" t="s">
        <v>139</v>
      </c>
      <c r="C182" s="119" t="str">
        <f>IF($B182="","",IFERROR(INDEX(Productos!$B:$B,MATCH($B182,Productos!$A:$A,0)),""))</f>
        <v>Agua 600 ml</v>
      </c>
      <c r="D182" s="107">
        <v>3</v>
      </c>
      <c r="E182" s="120">
        <f>IF($B182="","",IFERROR(INDEX(Productos!$F:$F,MATCH($B182,Productos!$A:$A,0)),0))</f>
        <v>1800</v>
      </c>
      <c r="F182" s="120">
        <f t="shared" si="6"/>
        <v>5400</v>
      </c>
      <c r="G182" s="120">
        <f>IF($B182="","",IFERROR(INDEX(Productos!$E:$E,MATCH($B182,Productos!$A:$A,0)),0))</f>
        <v>1200</v>
      </c>
      <c r="H182" s="120">
        <f t="shared" si="7"/>
        <v>3600</v>
      </c>
      <c r="I182" s="120">
        <f t="shared" si="8"/>
        <v>1800</v>
      </c>
      <c r="J182" s="106" t="s">
        <v>104</v>
      </c>
      <c r="K182" s="106" t="s">
        <v>79</v>
      </c>
      <c r="L182" s="119" t="str">
        <f>IF($B182="","",IFERROR(INDEX(Productos!$C:$C,MATCH($B182,Productos!$A:$A,0)),""))</f>
        <v>Bebidas</v>
      </c>
    </row>
    <row r="183" spans="1:12" ht="15" customHeight="1" x14ac:dyDescent="0.3">
      <c r="A183" s="105">
        <v>46218</v>
      </c>
      <c r="B183" s="106" t="s">
        <v>141</v>
      </c>
      <c r="C183" s="119" t="str">
        <f>IF($B183="","",IFERROR(INDEX(Productos!$B:$B,MATCH($B183,Productos!$A:$A,0)),""))</f>
        <v>Cerveza lata 330 ml</v>
      </c>
      <c r="D183" s="107">
        <v>2</v>
      </c>
      <c r="E183" s="120">
        <f>IF($B183="","",IFERROR(INDEX(Productos!$F:$F,MATCH($B183,Productos!$A:$A,0)),0))</f>
        <v>3800</v>
      </c>
      <c r="F183" s="120">
        <f t="shared" si="6"/>
        <v>7600</v>
      </c>
      <c r="G183" s="120">
        <f>IF($B183="","",IFERROR(INDEX(Productos!$E:$E,MATCH($B183,Productos!$A:$A,0)),0))</f>
        <v>2600</v>
      </c>
      <c r="H183" s="120">
        <f t="shared" si="7"/>
        <v>5200</v>
      </c>
      <c r="I183" s="120">
        <f t="shared" si="8"/>
        <v>2400</v>
      </c>
      <c r="J183" s="106" t="s">
        <v>108</v>
      </c>
      <c r="K183" s="106" t="s">
        <v>78</v>
      </c>
      <c r="L183" s="119" t="str">
        <f>IF($B183="","",IFERROR(INDEX(Productos!$C:$C,MATCH($B183,Productos!$A:$A,0)),""))</f>
        <v>Bebidas</v>
      </c>
    </row>
    <row r="184" spans="1:12" ht="15" customHeight="1" x14ac:dyDescent="0.3">
      <c r="A184" s="105">
        <v>46218</v>
      </c>
      <c r="B184" s="106" t="s">
        <v>143</v>
      </c>
      <c r="C184" s="119" t="str">
        <f>IF($B184="","",IFERROR(INDEX(Productos!$B:$B,MATCH($B184,Productos!$A:$A,0)),""))</f>
        <v>Pan tajado 500 g</v>
      </c>
      <c r="D184" s="107">
        <v>1</v>
      </c>
      <c r="E184" s="120">
        <f>IF($B184="","",IFERROR(INDEX(Productos!$F:$F,MATCH($B184,Productos!$A:$A,0)),0))</f>
        <v>5200</v>
      </c>
      <c r="F184" s="120">
        <f t="shared" si="6"/>
        <v>5200</v>
      </c>
      <c r="G184" s="120">
        <f>IF($B184="","",IFERROR(INDEX(Productos!$E:$E,MATCH($B184,Productos!$A:$A,0)),0))</f>
        <v>3900</v>
      </c>
      <c r="H184" s="120">
        <f t="shared" si="7"/>
        <v>3900</v>
      </c>
      <c r="I184" s="120">
        <f t="shared" si="8"/>
        <v>1300</v>
      </c>
      <c r="J184" s="106" t="s">
        <v>104</v>
      </c>
      <c r="K184" s="106" t="s">
        <v>79</v>
      </c>
      <c r="L184" s="119" t="str">
        <f>IF($B184="","",IFERROR(INDEX(Productos!$C:$C,MATCH($B184,Productos!$A:$A,0)),""))</f>
        <v>Panadería</v>
      </c>
    </row>
    <row r="185" spans="1:12" ht="15" customHeight="1" x14ac:dyDescent="0.3">
      <c r="A185" s="105">
        <v>46218</v>
      </c>
      <c r="B185" s="106" t="s">
        <v>149</v>
      </c>
      <c r="C185" s="119" t="str">
        <f>IF($B185="","",IFERROR(INDEX(Productos!$B:$B,MATCH($B185,Productos!$A:$A,0)),""))</f>
        <v>Papas fritas 105 g</v>
      </c>
      <c r="D185" s="107">
        <v>1</v>
      </c>
      <c r="E185" s="120">
        <f>IF($B185="","",IFERROR(INDEX(Productos!$F:$F,MATCH($B185,Productos!$A:$A,0)),0))</f>
        <v>4800</v>
      </c>
      <c r="F185" s="120">
        <f t="shared" si="6"/>
        <v>4800</v>
      </c>
      <c r="G185" s="120">
        <f>IF($B185="","",IFERROR(INDEX(Productos!$E:$E,MATCH($B185,Productos!$A:$A,0)),0))</f>
        <v>3200</v>
      </c>
      <c r="H185" s="120">
        <f t="shared" si="7"/>
        <v>3200</v>
      </c>
      <c r="I185" s="120">
        <f t="shared" si="8"/>
        <v>1600</v>
      </c>
      <c r="J185" s="106" t="s">
        <v>108</v>
      </c>
      <c r="K185" s="106" t="s">
        <v>78</v>
      </c>
      <c r="L185" s="119" t="str">
        <f>IF($B185="","",IFERROR(INDEX(Productos!$C:$C,MATCH($B185,Productos!$A:$A,0)),""))</f>
        <v>Snacks</v>
      </c>
    </row>
    <row r="186" spans="1:12" ht="15" customHeight="1" x14ac:dyDescent="0.3">
      <c r="A186" s="105">
        <v>46218</v>
      </c>
      <c r="B186" s="106" t="s">
        <v>154</v>
      </c>
      <c r="C186" s="119" t="str">
        <f>IF($B186="","",IFERROR(INDEX(Productos!$B:$B,MATCH($B186,Productos!$A:$A,0)),""))</f>
        <v>Jabón de barra</v>
      </c>
      <c r="D186" s="107">
        <v>1</v>
      </c>
      <c r="E186" s="120">
        <f>IF($B186="","",IFERROR(INDEX(Productos!$F:$F,MATCH($B186,Productos!$A:$A,0)),0))</f>
        <v>2800</v>
      </c>
      <c r="F186" s="120">
        <f t="shared" si="6"/>
        <v>2800</v>
      </c>
      <c r="G186" s="120">
        <f>IF($B186="","",IFERROR(INDEX(Productos!$E:$E,MATCH($B186,Productos!$A:$A,0)),0))</f>
        <v>1900</v>
      </c>
      <c r="H186" s="120">
        <f t="shared" si="7"/>
        <v>1900</v>
      </c>
      <c r="I186" s="120">
        <f t="shared" si="8"/>
        <v>900</v>
      </c>
      <c r="J186" s="106" t="s">
        <v>106</v>
      </c>
      <c r="K186" s="106" t="s">
        <v>80</v>
      </c>
      <c r="L186" s="119" t="str">
        <f>IF($B186="","",IFERROR(INDEX(Productos!$C:$C,MATCH($B186,Productos!$A:$A,0)),""))</f>
        <v>Aseo personal</v>
      </c>
    </row>
    <row r="187" spans="1:12" ht="15" customHeight="1" x14ac:dyDescent="0.3">
      <c r="A187" s="105">
        <v>46218</v>
      </c>
      <c r="B187" s="106" t="s">
        <v>161</v>
      </c>
      <c r="C187" s="119" t="str">
        <f>IF($B187="","",IFERROR(INDEX(Productos!$B:$B,MATCH($B187,Productos!$A:$A,0)),""))</f>
        <v>Pollo entero kg</v>
      </c>
      <c r="D187" s="107">
        <v>3</v>
      </c>
      <c r="E187" s="120">
        <f>IF($B187="","",IFERROR(INDEX(Productos!$F:$F,MATCH($B187,Productos!$A:$A,0)),0))</f>
        <v>14800</v>
      </c>
      <c r="F187" s="120">
        <f t="shared" si="6"/>
        <v>44400</v>
      </c>
      <c r="G187" s="120">
        <f>IF($B187="","",IFERROR(INDEX(Productos!$E:$E,MATCH($B187,Productos!$A:$A,0)),0))</f>
        <v>11500</v>
      </c>
      <c r="H187" s="120">
        <f t="shared" si="7"/>
        <v>34500</v>
      </c>
      <c r="I187" s="120">
        <f t="shared" si="8"/>
        <v>9900</v>
      </c>
      <c r="J187" s="106" t="s">
        <v>104</v>
      </c>
      <c r="K187" s="106" t="s">
        <v>78</v>
      </c>
      <c r="L187" s="119" t="str">
        <f>IF($B187="","",IFERROR(INDEX(Productos!$C:$C,MATCH($B187,Productos!$A:$A,0)),""))</f>
        <v>Perecederos</v>
      </c>
    </row>
    <row r="188" spans="1:12" ht="15" customHeight="1" x14ac:dyDescent="0.3">
      <c r="A188" s="105">
        <v>46218</v>
      </c>
      <c r="B188" s="106" t="s">
        <v>163</v>
      </c>
      <c r="C188" s="119" t="str">
        <f>IF($B188="","",IFERROR(INDEX(Productos!$B:$B,MATCH($B188,Productos!$A:$A,0)),""))</f>
        <v>Tomate kg</v>
      </c>
      <c r="D188" s="107">
        <v>1</v>
      </c>
      <c r="E188" s="120">
        <f>IF($B188="","",IFERROR(INDEX(Productos!$F:$F,MATCH($B188,Productos!$A:$A,0)),0))</f>
        <v>4200</v>
      </c>
      <c r="F188" s="120">
        <f t="shared" si="6"/>
        <v>4200</v>
      </c>
      <c r="G188" s="120">
        <f>IF($B188="","",IFERROR(INDEX(Productos!$E:$E,MATCH($B188,Productos!$A:$A,0)),0))</f>
        <v>2800</v>
      </c>
      <c r="H188" s="120">
        <f t="shared" si="7"/>
        <v>2800</v>
      </c>
      <c r="I188" s="120">
        <f t="shared" si="8"/>
        <v>1400</v>
      </c>
      <c r="J188" s="106" t="s">
        <v>106</v>
      </c>
      <c r="K188" s="106" t="s">
        <v>78</v>
      </c>
      <c r="L188" s="119" t="str">
        <f>IF($B188="","",IFERROR(INDEX(Productos!$C:$C,MATCH($B188,Productos!$A:$A,0)),""))</f>
        <v>Frutas y verduras</v>
      </c>
    </row>
    <row r="189" spans="1:12" ht="15" customHeight="1" x14ac:dyDescent="0.3">
      <c r="A189" s="105">
        <v>46218</v>
      </c>
      <c r="B189" s="106" t="s">
        <v>168</v>
      </c>
      <c r="C189" s="119" t="str">
        <f>IF($B189="","",IFERROR(INDEX(Productos!$B:$B,MATCH($B189,Productos!$A:$A,0)),""))</f>
        <v>Banano kg</v>
      </c>
      <c r="D189" s="107">
        <v>4</v>
      </c>
      <c r="E189" s="120">
        <f>IF($B189="","",IFERROR(INDEX(Productos!$F:$F,MATCH($B189,Productos!$A:$A,0)),0))</f>
        <v>3400</v>
      </c>
      <c r="F189" s="120">
        <f t="shared" si="6"/>
        <v>13600</v>
      </c>
      <c r="G189" s="120">
        <f>IF($B189="","",IFERROR(INDEX(Productos!$E:$E,MATCH($B189,Productos!$A:$A,0)),0))</f>
        <v>2200</v>
      </c>
      <c r="H189" s="120">
        <f t="shared" si="7"/>
        <v>8800</v>
      </c>
      <c r="I189" s="120">
        <f t="shared" si="8"/>
        <v>4800</v>
      </c>
      <c r="J189" s="106" t="s">
        <v>102</v>
      </c>
      <c r="K189" s="106" t="s">
        <v>78</v>
      </c>
      <c r="L189" s="119" t="str">
        <f>IF($B189="","",IFERROR(INDEX(Productos!$C:$C,MATCH($B189,Productos!$A:$A,0)),""))</f>
        <v>Frutas y verduras</v>
      </c>
    </row>
    <row r="190" spans="1:12" ht="15" customHeight="1" x14ac:dyDescent="0.3">
      <c r="A190" s="105">
        <v>46219</v>
      </c>
      <c r="B190" s="106" t="s">
        <v>124</v>
      </c>
      <c r="C190" s="119" t="str">
        <f>IF($B190="","",IFERROR(INDEX(Productos!$B:$B,MATCH($B190,Productos!$A:$A,0)),""))</f>
        <v>Aceite girasol 1 L</v>
      </c>
      <c r="D190" s="107">
        <v>2</v>
      </c>
      <c r="E190" s="120">
        <f>IF($B190="","",IFERROR(INDEX(Productos!$F:$F,MATCH($B190,Productos!$A:$A,0)),0))</f>
        <v>9500</v>
      </c>
      <c r="F190" s="120">
        <f t="shared" si="6"/>
        <v>19000</v>
      </c>
      <c r="G190" s="120">
        <f>IF($B190="","",IFERROR(INDEX(Productos!$E:$E,MATCH($B190,Productos!$A:$A,0)),0))</f>
        <v>7200</v>
      </c>
      <c r="H190" s="120">
        <f t="shared" si="7"/>
        <v>14400</v>
      </c>
      <c r="I190" s="120">
        <f t="shared" si="8"/>
        <v>4600</v>
      </c>
      <c r="J190" s="106" t="s">
        <v>102</v>
      </c>
      <c r="K190" s="106" t="s">
        <v>79</v>
      </c>
      <c r="L190" s="119" t="str">
        <f>IF($B190="","",IFERROR(INDEX(Productos!$C:$C,MATCH($B190,Productos!$A:$A,0)),""))</f>
        <v>Granos y abarrotes</v>
      </c>
    </row>
    <row r="191" spans="1:12" ht="15" customHeight="1" x14ac:dyDescent="0.3">
      <c r="A191" s="105">
        <v>46219</v>
      </c>
      <c r="B191" s="106" t="s">
        <v>134</v>
      </c>
      <c r="C191" s="119" t="str">
        <f>IF($B191="","",IFERROR(INDEX(Productos!$B:$B,MATCH($B191,Productos!$A:$A,0)),""))</f>
        <v>Yogur 1 L</v>
      </c>
      <c r="D191" s="107">
        <v>1</v>
      </c>
      <c r="E191" s="120">
        <f>IF($B191="","",IFERROR(INDEX(Productos!$F:$F,MATCH($B191,Productos!$A:$A,0)),0))</f>
        <v>7200</v>
      </c>
      <c r="F191" s="120">
        <f t="shared" si="6"/>
        <v>7200</v>
      </c>
      <c r="G191" s="120">
        <f>IF($B191="","",IFERROR(INDEX(Productos!$E:$E,MATCH($B191,Productos!$A:$A,0)),0))</f>
        <v>5400</v>
      </c>
      <c r="H191" s="120">
        <f t="shared" si="7"/>
        <v>5400</v>
      </c>
      <c r="I191" s="120">
        <f t="shared" si="8"/>
        <v>1800</v>
      </c>
      <c r="J191" s="106" t="s">
        <v>108</v>
      </c>
      <c r="K191" s="106" t="s">
        <v>79</v>
      </c>
      <c r="L191" s="119" t="str">
        <f>IF($B191="","",IFERROR(INDEX(Productos!$C:$C,MATCH($B191,Productos!$A:$A,0)),""))</f>
        <v>Lácteos</v>
      </c>
    </row>
    <row r="192" spans="1:12" ht="15" customHeight="1" x14ac:dyDescent="0.3">
      <c r="A192" s="105">
        <v>46219</v>
      </c>
      <c r="B192" s="106" t="s">
        <v>136</v>
      </c>
      <c r="C192" s="119" t="str">
        <f>IF($B192="","",IFERROR(INDEX(Productos!$B:$B,MATCH($B192,Productos!$A:$A,0)),""))</f>
        <v>Gaseosa 1,5 L</v>
      </c>
      <c r="D192" s="107">
        <v>2</v>
      </c>
      <c r="E192" s="120">
        <f>IF($B192="","",IFERROR(INDEX(Productos!$F:$F,MATCH($B192,Productos!$A:$A,0)),0))</f>
        <v>4500</v>
      </c>
      <c r="F192" s="120">
        <f t="shared" si="6"/>
        <v>9000</v>
      </c>
      <c r="G192" s="120">
        <f>IF($B192="","",IFERROR(INDEX(Productos!$E:$E,MATCH($B192,Productos!$A:$A,0)),0))</f>
        <v>3400</v>
      </c>
      <c r="H192" s="120">
        <f t="shared" si="7"/>
        <v>6800</v>
      </c>
      <c r="I192" s="120">
        <f t="shared" si="8"/>
        <v>2200</v>
      </c>
      <c r="J192" s="106" t="s">
        <v>104</v>
      </c>
      <c r="K192" s="106" t="s">
        <v>79</v>
      </c>
      <c r="L192" s="119" t="str">
        <f>IF($B192="","",IFERROR(INDEX(Productos!$C:$C,MATCH($B192,Productos!$A:$A,0)),""))</f>
        <v>Bebidas</v>
      </c>
    </row>
    <row r="193" spans="1:12" ht="15" customHeight="1" x14ac:dyDescent="0.3">
      <c r="A193" s="105">
        <v>46219</v>
      </c>
      <c r="B193" s="106" t="s">
        <v>139</v>
      </c>
      <c r="C193" s="119" t="str">
        <f>IF($B193="","",IFERROR(INDEX(Productos!$B:$B,MATCH($B193,Productos!$A:$A,0)),""))</f>
        <v>Agua 600 ml</v>
      </c>
      <c r="D193" s="107">
        <v>3</v>
      </c>
      <c r="E193" s="120">
        <f>IF($B193="","",IFERROR(INDEX(Productos!$F:$F,MATCH($B193,Productos!$A:$A,0)),0))</f>
        <v>1800</v>
      </c>
      <c r="F193" s="120">
        <f t="shared" si="6"/>
        <v>5400</v>
      </c>
      <c r="G193" s="120">
        <f>IF($B193="","",IFERROR(INDEX(Productos!$E:$E,MATCH($B193,Productos!$A:$A,0)),0))</f>
        <v>1200</v>
      </c>
      <c r="H193" s="120">
        <f t="shared" si="7"/>
        <v>3600</v>
      </c>
      <c r="I193" s="120">
        <f t="shared" si="8"/>
        <v>1800</v>
      </c>
      <c r="J193" s="106" t="s">
        <v>104</v>
      </c>
      <c r="K193" s="106" t="s">
        <v>81</v>
      </c>
      <c r="L193" s="119" t="str">
        <f>IF($B193="","",IFERROR(INDEX(Productos!$C:$C,MATCH($B193,Productos!$A:$A,0)),""))</f>
        <v>Bebidas</v>
      </c>
    </row>
    <row r="194" spans="1:12" ht="15" customHeight="1" x14ac:dyDescent="0.3">
      <c r="A194" s="105">
        <v>46219</v>
      </c>
      <c r="B194" s="106" t="s">
        <v>143</v>
      </c>
      <c r="C194" s="119" t="str">
        <f>IF($B194="","",IFERROR(INDEX(Productos!$B:$B,MATCH($B194,Productos!$A:$A,0)),""))</f>
        <v>Pan tajado 500 g</v>
      </c>
      <c r="D194" s="107">
        <v>3</v>
      </c>
      <c r="E194" s="120">
        <f>IF($B194="","",IFERROR(INDEX(Productos!$F:$F,MATCH($B194,Productos!$A:$A,0)),0))</f>
        <v>5200</v>
      </c>
      <c r="F194" s="120">
        <f t="shared" si="6"/>
        <v>15600</v>
      </c>
      <c r="G194" s="120">
        <f>IF($B194="","",IFERROR(INDEX(Productos!$E:$E,MATCH($B194,Productos!$A:$A,0)),0))</f>
        <v>3900</v>
      </c>
      <c r="H194" s="120">
        <f t="shared" si="7"/>
        <v>11700</v>
      </c>
      <c r="I194" s="120">
        <f t="shared" si="8"/>
        <v>3900</v>
      </c>
      <c r="J194" s="106" t="s">
        <v>104</v>
      </c>
      <c r="K194" s="106" t="s">
        <v>81</v>
      </c>
      <c r="L194" s="119" t="str">
        <f>IF($B194="","",IFERROR(INDEX(Productos!$C:$C,MATCH($B194,Productos!$A:$A,0)),""))</f>
        <v>Panadería</v>
      </c>
    </row>
    <row r="195" spans="1:12" ht="15" customHeight="1" x14ac:dyDescent="0.3">
      <c r="A195" s="105">
        <v>46219</v>
      </c>
      <c r="B195" s="106" t="s">
        <v>146</v>
      </c>
      <c r="C195" s="119" t="str">
        <f>IF($B195="","",IFERROR(INDEX(Productos!$B:$B,MATCH($B195,Productos!$A:$A,0)),""))</f>
        <v>Galletas surtidas</v>
      </c>
      <c r="D195" s="107">
        <v>2</v>
      </c>
      <c r="E195" s="120">
        <f>IF($B195="","",IFERROR(INDEX(Productos!$F:$F,MATCH($B195,Productos!$A:$A,0)),0))</f>
        <v>2700</v>
      </c>
      <c r="F195" s="120">
        <f t="shared" si="6"/>
        <v>5400</v>
      </c>
      <c r="G195" s="120">
        <f>IF($B195="","",IFERROR(INDEX(Productos!$E:$E,MATCH($B195,Productos!$A:$A,0)),0))</f>
        <v>1800</v>
      </c>
      <c r="H195" s="120">
        <f t="shared" si="7"/>
        <v>3600</v>
      </c>
      <c r="I195" s="120">
        <f t="shared" si="8"/>
        <v>1800</v>
      </c>
      <c r="J195" s="106" t="s">
        <v>108</v>
      </c>
      <c r="K195" s="106" t="s">
        <v>78</v>
      </c>
      <c r="L195" s="119" t="str">
        <f>IF($B195="","",IFERROR(INDEX(Productos!$C:$C,MATCH($B195,Productos!$A:$A,0)),""))</f>
        <v>Snacks</v>
      </c>
    </row>
    <row r="196" spans="1:12" ht="15" customHeight="1" x14ac:dyDescent="0.3">
      <c r="A196" s="105">
        <v>46219</v>
      </c>
      <c r="B196" s="106" t="s">
        <v>149</v>
      </c>
      <c r="C196" s="119" t="str">
        <f>IF($B196="","",IFERROR(INDEX(Productos!$B:$B,MATCH($B196,Productos!$A:$A,0)),""))</f>
        <v>Papas fritas 105 g</v>
      </c>
      <c r="D196" s="107">
        <v>4</v>
      </c>
      <c r="E196" s="120">
        <f>IF($B196="","",IFERROR(INDEX(Productos!$F:$F,MATCH($B196,Productos!$A:$A,0)),0))</f>
        <v>4800</v>
      </c>
      <c r="F196" s="120">
        <f t="shared" si="6"/>
        <v>19200</v>
      </c>
      <c r="G196" s="120">
        <f>IF($B196="","",IFERROR(INDEX(Productos!$E:$E,MATCH($B196,Productos!$A:$A,0)),0))</f>
        <v>3200</v>
      </c>
      <c r="H196" s="120">
        <f t="shared" si="7"/>
        <v>12800</v>
      </c>
      <c r="I196" s="120">
        <f t="shared" si="8"/>
        <v>6400</v>
      </c>
      <c r="J196" s="106" t="s">
        <v>108</v>
      </c>
      <c r="K196" s="106" t="s">
        <v>81</v>
      </c>
      <c r="L196" s="119" t="str">
        <f>IF($B196="","",IFERROR(INDEX(Productos!$C:$C,MATCH($B196,Productos!$A:$A,0)),""))</f>
        <v>Snacks</v>
      </c>
    </row>
    <row r="197" spans="1:12" ht="15" customHeight="1" x14ac:dyDescent="0.3">
      <c r="A197" s="105">
        <v>46219</v>
      </c>
      <c r="B197" s="106" t="s">
        <v>158</v>
      </c>
      <c r="C197" s="119" t="str">
        <f>IF($B197="","",IFERROR(INDEX(Productos!$B:$B,MATCH($B197,Productos!$A:$A,0)),""))</f>
        <v>Huevos AA x 12</v>
      </c>
      <c r="D197" s="107">
        <v>1</v>
      </c>
      <c r="E197" s="120">
        <f>IF($B197="","",IFERROR(INDEX(Productos!$F:$F,MATCH($B197,Productos!$A:$A,0)),0))</f>
        <v>12000</v>
      </c>
      <c r="F197" s="120">
        <f t="shared" ref="F197:F260" si="9">IF($B197="","",N(D197)*E197)</f>
        <v>12000</v>
      </c>
      <c r="G197" s="120">
        <f>IF($B197="","",IFERROR(INDEX(Productos!$E:$E,MATCH($B197,Productos!$A:$A,0)),0))</f>
        <v>9200</v>
      </c>
      <c r="H197" s="120">
        <f t="shared" ref="H197:H260" si="10">IF($B197="","",N(D197)*G197)</f>
        <v>9200</v>
      </c>
      <c r="I197" s="120">
        <f t="shared" ref="I197:I260" si="11">IF($B197="","",F197-H197)</f>
        <v>2800</v>
      </c>
      <c r="J197" s="106" t="s">
        <v>106</v>
      </c>
      <c r="K197" s="106" t="s">
        <v>80</v>
      </c>
      <c r="L197" s="119" t="str">
        <f>IF($B197="","",IFERROR(INDEX(Productos!$C:$C,MATCH($B197,Productos!$A:$A,0)),""))</f>
        <v>Perecederos</v>
      </c>
    </row>
    <row r="198" spans="1:12" ht="15" customHeight="1" x14ac:dyDescent="0.3">
      <c r="A198" s="105">
        <v>46219</v>
      </c>
      <c r="B198" s="106" t="s">
        <v>163</v>
      </c>
      <c r="C198" s="119" t="str">
        <f>IF($B198="","",IFERROR(INDEX(Productos!$B:$B,MATCH($B198,Productos!$A:$A,0)),""))</f>
        <v>Tomate kg</v>
      </c>
      <c r="D198" s="107">
        <v>1</v>
      </c>
      <c r="E198" s="120">
        <f>IF($B198="","",IFERROR(INDEX(Productos!$F:$F,MATCH($B198,Productos!$A:$A,0)),0))</f>
        <v>4200</v>
      </c>
      <c r="F198" s="120">
        <f t="shared" si="9"/>
        <v>4200</v>
      </c>
      <c r="G198" s="120">
        <f>IF($B198="","",IFERROR(INDEX(Productos!$E:$E,MATCH($B198,Productos!$A:$A,0)),0))</f>
        <v>2800</v>
      </c>
      <c r="H198" s="120">
        <f t="shared" si="10"/>
        <v>2800</v>
      </c>
      <c r="I198" s="120">
        <f t="shared" si="11"/>
        <v>1400</v>
      </c>
      <c r="J198" s="106" t="s">
        <v>108</v>
      </c>
      <c r="K198" s="106" t="s">
        <v>78</v>
      </c>
      <c r="L198" s="119" t="str">
        <f>IF($B198="","",IFERROR(INDEX(Productos!$C:$C,MATCH($B198,Productos!$A:$A,0)),""))</f>
        <v>Frutas y verduras</v>
      </c>
    </row>
    <row r="199" spans="1:12" ht="15" customHeight="1" x14ac:dyDescent="0.3">
      <c r="A199" s="105">
        <v>46219</v>
      </c>
      <c r="B199" s="106" t="s">
        <v>166</v>
      </c>
      <c r="C199" s="119" t="str">
        <f>IF($B199="","",IFERROR(INDEX(Productos!$B:$B,MATCH($B199,Productos!$A:$A,0)),""))</f>
        <v>Papa kg</v>
      </c>
      <c r="D199" s="107">
        <v>1</v>
      </c>
      <c r="E199" s="120">
        <f>IF($B199="","",IFERROR(INDEX(Productos!$F:$F,MATCH($B199,Productos!$A:$A,0)),0))</f>
        <v>2800</v>
      </c>
      <c r="F199" s="120">
        <f t="shared" si="9"/>
        <v>2800</v>
      </c>
      <c r="G199" s="120">
        <f>IF($B199="","",IFERROR(INDEX(Productos!$E:$E,MATCH($B199,Productos!$A:$A,0)),0))</f>
        <v>1900</v>
      </c>
      <c r="H199" s="120">
        <f t="shared" si="10"/>
        <v>1900</v>
      </c>
      <c r="I199" s="120">
        <f t="shared" si="11"/>
        <v>900</v>
      </c>
      <c r="J199" s="106" t="s">
        <v>102</v>
      </c>
      <c r="K199" s="106" t="s">
        <v>78</v>
      </c>
      <c r="L199" s="119" t="str">
        <f>IF($B199="","",IFERROR(INDEX(Productos!$C:$C,MATCH($B199,Productos!$A:$A,0)),""))</f>
        <v>Frutas y verduras</v>
      </c>
    </row>
    <row r="200" spans="1:12" ht="15" customHeight="1" x14ac:dyDescent="0.3">
      <c r="A200" s="105">
        <v>46219</v>
      </c>
      <c r="B200" s="106" t="s">
        <v>168</v>
      </c>
      <c r="C200" s="119" t="str">
        <f>IF($B200="","",IFERROR(INDEX(Productos!$B:$B,MATCH($B200,Productos!$A:$A,0)),""))</f>
        <v>Banano kg</v>
      </c>
      <c r="D200" s="107">
        <v>2</v>
      </c>
      <c r="E200" s="120">
        <f>IF($B200="","",IFERROR(INDEX(Productos!$F:$F,MATCH($B200,Productos!$A:$A,0)),0))</f>
        <v>3400</v>
      </c>
      <c r="F200" s="120">
        <f t="shared" si="9"/>
        <v>6800</v>
      </c>
      <c r="G200" s="120">
        <f>IF($B200="","",IFERROR(INDEX(Productos!$E:$E,MATCH($B200,Productos!$A:$A,0)),0))</f>
        <v>2200</v>
      </c>
      <c r="H200" s="120">
        <f t="shared" si="10"/>
        <v>4400</v>
      </c>
      <c r="I200" s="120">
        <f t="shared" si="11"/>
        <v>2400</v>
      </c>
      <c r="J200" s="106" t="s">
        <v>106</v>
      </c>
      <c r="K200" s="106" t="s">
        <v>78</v>
      </c>
      <c r="L200" s="119" t="str">
        <f>IF($B200="","",IFERROR(INDEX(Productos!$C:$C,MATCH($B200,Productos!$A:$A,0)),""))</f>
        <v>Frutas y verduras</v>
      </c>
    </row>
    <row r="201" spans="1:12" ht="15" customHeight="1" x14ac:dyDescent="0.3">
      <c r="A201" s="105">
        <v>46220</v>
      </c>
      <c r="B201" s="106" t="s">
        <v>121</v>
      </c>
      <c r="C201" s="119" t="str">
        <f>IF($B201="","",IFERROR(INDEX(Productos!$B:$B,MATCH($B201,Productos!$A:$A,0)),""))</f>
        <v>Arroz x 500 g</v>
      </c>
      <c r="D201" s="107">
        <v>3</v>
      </c>
      <c r="E201" s="120">
        <f>IF($B201="","",IFERROR(INDEX(Productos!$F:$F,MATCH($B201,Productos!$A:$A,0)),0))</f>
        <v>2600</v>
      </c>
      <c r="F201" s="120">
        <f t="shared" si="9"/>
        <v>7800</v>
      </c>
      <c r="G201" s="120">
        <f>IF($B201="","",IFERROR(INDEX(Productos!$E:$E,MATCH($B201,Productos!$A:$A,0)),0))</f>
        <v>1850</v>
      </c>
      <c r="H201" s="120">
        <f t="shared" si="10"/>
        <v>5550</v>
      </c>
      <c r="I201" s="120">
        <f t="shared" si="11"/>
        <v>2250</v>
      </c>
      <c r="J201" s="106" t="s">
        <v>104</v>
      </c>
      <c r="K201" s="106" t="s">
        <v>78</v>
      </c>
      <c r="L201" s="119" t="str">
        <f>IF($B201="","",IFERROR(INDEX(Productos!$C:$C,MATCH($B201,Productos!$A:$A,0)),""))</f>
        <v>Granos y abarrotes</v>
      </c>
    </row>
    <row r="202" spans="1:12" ht="15" customHeight="1" x14ac:dyDescent="0.3">
      <c r="A202" s="105">
        <v>46220</v>
      </c>
      <c r="B202" s="106" t="s">
        <v>124</v>
      </c>
      <c r="C202" s="119" t="str">
        <f>IF($B202="","",IFERROR(INDEX(Productos!$B:$B,MATCH($B202,Productos!$A:$A,0)),""))</f>
        <v>Aceite girasol 1 L</v>
      </c>
      <c r="D202" s="107">
        <v>2</v>
      </c>
      <c r="E202" s="120">
        <f>IF($B202="","",IFERROR(INDEX(Productos!$F:$F,MATCH($B202,Productos!$A:$A,0)),0))</f>
        <v>9500</v>
      </c>
      <c r="F202" s="120">
        <f t="shared" si="9"/>
        <v>19000</v>
      </c>
      <c r="G202" s="120">
        <f>IF($B202="","",IFERROR(INDEX(Productos!$E:$E,MATCH($B202,Productos!$A:$A,0)),0))</f>
        <v>7200</v>
      </c>
      <c r="H202" s="120">
        <f t="shared" si="10"/>
        <v>14400</v>
      </c>
      <c r="I202" s="120">
        <f t="shared" si="11"/>
        <v>4600</v>
      </c>
      <c r="J202" s="106" t="s">
        <v>102</v>
      </c>
      <c r="K202" s="106" t="s">
        <v>79</v>
      </c>
      <c r="L202" s="119" t="str">
        <f>IF($B202="","",IFERROR(INDEX(Productos!$C:$C,MATCH($B202,Productos!$A:$A,0)),""))</f>
        <v>Granos y abarrotes</v>
      </c>
    </row>
    <row r="203" spans="1:12" ht="15" customHeight="1" x14ac:dyDescent="0.3">
      <c r="A203" s="105">
        <v>46220</v>
      </c>
      <c r="B203" s="106" t="s">
        <v>126</v>
      </c>
      <c r="C203" s="119" t="str">
        <f>IF($B203="","",IFERROR(INDEX(Productos!$B:$B,MATCH($B203,Productos!$A:$A,0)),""))</f>
        <v>Panela x 500 g</v>
      </c>
      <c r="D203" s="107">
        <v>4</v>
      </c>
      <c r="E203" s="120">
        <f>IF($B203="","",IFERROR(INDEX(Productos!$F:$F,MATCH($B203,Productos!$A:$A,0)),0))</f>
        <v>2900</v>
      </c>
      <c r="F203" s="120">
        <f t="shared" si="9"/>
        <v>11600</v>
      </c>
      <c r="G203" s="120">
        <f>IF($B203="","",IFERROR(INDEX(Productos!$E:$E,MATCH($B203,Productos!$A:$A,0)),0))</f>
        <v>2100</v>
      </c>
      <c r="H203" s="120">
        <f t="shared" si="10"/>
        <v>8400</v>
      </c>
      <c r="I203" s="120">
        <f t="shared" si="11"/>
        <v>3200</v>
      </c>
      <c r="J203" s="106" t="s">
        <v>106</v>
      </c>
      <c r="K203" s="106" t="s">
        <v>78</v>
      </c>
      <c r="L203" s="119" t="str">
        <f>IF($B203="","",IFERROR(INDEX(Productos!$C:$C,MATCH($B203,Productos!$A:$A,0)),""))</f>
        <v>Granos y abarrotes</v>
      </c>
    </row>
    <row r="204" spans="1:12" ht="15" customHeight="1" x14ac:dyDescent="0.3">
      <c r="A204" s="105">
        <v>46220</v>
      </c>
      <c r="B204" s="106" t="s">
        <v>129</v>
      </c>
      <c r="C204" s="119" t="str">
        <f>IF($B204="","",IFERROR(INDEX(Productos!$B:$B,MATCH($B204,Productos!$A:$A,0)),""))</f>
        <v>Leche entera 1 L</v>
      </c>
      <c r="D204" s="107">
        <v>1</v>
      </c>
      <c r="E204" s="120">
        <f>IF($B204="","",IFERROR(INDEX(Productos!$F:$F,MATCH($B204,Productos!$A:$A,0)),0))</f>
        <v>3900</v>
      </c>
      <c r="F204" s="120">
        <f t="shared" si="9"/>
        <v>3900</v>
      </c>
      <c r="G204" s="120">
        <f>IF($B204="","",IFERROR(INDEX(Productos!$E:$E,MATCH($B204,Productos!$A:$A,0)),0))</f>
        <v>3100</v>
      </c>
      <c r="H204" s="120">
        <f t="shared" si="10"/>
        <v>3100</v>
      </c>
      <c r="I204" s="120">
        <f t="shared" si="11"/>
        <v>800</v>
      </c>
      <c r="J204" s="106" t="s">
        <v>104</v>
      </c>
      <c r="K204" s="106" t="s">
        <v>80</v>
      </c>
      <c r="L204" s="119" t="str">
        <f>IF($B204="","",IFERROR(INDEX(Productos!$C:$C,MATCH($B204,Productos!$A:$A,0)),""))</f>
        <v>Lácteos</v>
      </c>
    </row>
    <row r="205" spans="1:12" ht="15" customHeight="1" x14ac:dyDescent="0.3">
      <c r="A205" s="51">
        <v>46220</v>
      </c>
      <c r="B205" s="52" t="s">
        <v>136</v>
      </c>
      <c r="C205" s="119" t="str">
        <f>IF($B205="","",IFERROR(INDEX(Productos!$B:$B,MATCH($B205,Productos!$A:$A,0)),""))</f>
        <v>Gaseosa 1,5 L</v>
      </c>
      <c r="D205" s="53">
        <v>2</v>
      </c>
      <c r="E205" s="120">
        <f>IF($B205="","",IFERROR(INDEX(Productos!$F:$F,MATCH($B205,Productos!$A:$A,0)),0))</f>
        <v>4500</v>
      </c>
      <c r="F205" s="120">
        <f t="shared" si="9"/>
        <v>9000</v>
      </c>
      <c r="G205" s="120">
        <f>IF($B205="","",IFERROR(INDEX(Productos!$E:$E,MATCH($B205,Productos!$A:$A,0)),0))</f>
        <v>3400</v>
      </c>
      <c r="H205" s="120">
        <f t="shared" si="10"/>
        <v>6800</v>
      </c>
      <c r="I205" s="120">
        <f t="shared" si="11"/>
        <v>2200</v>
      </c>
      <c r="J205" s="52" t="s">
        <v>102</v>
      </c>
      <c r="K205" s="52" t="s">
        <v>81</v>
      </c>
      <c r="L205" s="119" t="str">
        <f>IF($B205="","",IFERROR(INDEX(Productos!$C:$C,MATCH($B205,Productos!$A:$A,0)),""))</f>
        <v>Bebidas</v>
      </c>
    </row>
    <row r="206" spans="1:12" ht="15" customHeight="1" x14ac:dyDescent="0.3">
      <c r="A206" s="51">
        <v>46220</v>
      </c>
      <c r="B206" s="52" t="s">
        <v>139</v>
      </c>
      <c r="C206" s="119" t="str">
        <f>IF($B206="","",IFERROR(INDEX(Productos!$B:$B,MATCH($B206,Productos!$A:$A,0)),""))</f>
        <v>Agua 600 ml</v>
      </c>
      <c r="D206" s="53">
        <v>2</v>
      </c>
      <c r="E206" s="120">
        <f>IF($B206="","",IFERROR(INDEX(Productos!$F:$F,MATCH($B206,Productos!$A:$A,0)),0))</f>
        <v>1800</v>
      </c>
      <c r="F206" s="120">
        <f t="shared" si="9"/>
        <v>3600</v>
      </c>
      <c r="G206" s="120">
        <f>IF($B206="","",IFERROR(INDEX(Productos!$E:$E,MATCH($B206,Productos!$A:$A,0)),0))</f>
        <v>1200</v>
      </c>
      <c r="H206" s="120">
        <f t="shared" si="10"/>
        <v>2400</v>
      </c>
      <c r="I206" s="120">
        <f t="shared" si="11"/>
        <v>1200</v>
      </c>
      <c r="J206" s="52" t="s">
        <v>104</v>
      </c>
      <c r="K206" s="52" t="s">
        <v>80</v>
      </c>
      <c r="L206" s="119" t="str">
        <f>IF($B206="","",IFERROR(INDEX(Productos!$C:$C,MATCH($B206,Productos!$A:$A,0)),""))</f>
        <v>Bebidas</v>
      </c>
    </row>
    <row r="207" spans="1:12" ht="15" customHeight="1" x14ac:dyDescent="0.3">
      <c r="A207" s="51">
        <v>46220</v>
      </c>
      <c r="B207" s="52" t="s">
        <v>141</v>
      </c>
      <c r="C207" s="119" t="str">
        <f>IF($B207="","",IFERROR(INDEX(Productos!$B:$B,MATCH($B207,Productos!$A:$A,0)),""))</f>
        <v>Cerveza lata 330 ml</v>
      </c>
      <c r="D207" s="53">
        <v>2</v>
      </c>
      <c r="E207" s="120">
        <f>IF($B207="","",IFERROR(INDEX(Productos!$F:$F,MATCH($B207,Productos!$A:$A,0)),0))</f>
        <v>3800</v>
      </c>
      <c r="F207" s="120">
        <f t="shared" si="9"/>
        <v>7600</v>
      </c>
      <c r="G207" s="120">
        <f>IF($B207="","",IFERROR(INDEX(Productos!$E:$E,MATCH($B207,Productos!$A:$A,0)),0))</f>
        <v>2600</v>
      </c>
      <c r="H207" s="120">
        <f t="shared" si="10"/>
        <v>5200</v>
      </c>
      <c r="I207" s="120">
        <f t="shared" si="11"/>
        <v>2400</v>
      </c>
      <c r="J207" s="52" t="s">
        <v>108</v>
      </c>
      <c r="K207" s="52" t="s">
        <v>78</v>
      </c>
      <c r="L207" s="119" t="str">
        <f>IF($B207="","",IFERROR(INDEX(Productos!$C:$C,MATCH($B207,Productos!$A:$A,0)),""))</f>
        <v>Bebidas</v>
      </c>
    </row>
    <row r="208" spans="1:12" ht="15" customHeight="1" x14ac:dyDescent="0.3">
      <c r="A208" s="51">
        <v>46220</v>
      </c>
      <c r="B208" s="52" t="s">
        <v>143</v>
      </c>
      <c r="C208" s="119" t="str">
        <f>IF($B208="","",IFERROR(INDEX(Productos!$B:$B,MATCH($B208,Productos!$A:$A,0)),""))</f>
        <v>Pan tajado 500 g</v>
      </c>
      <c r="D208" s="53">
        <v>3</v>
      </c>
      <c r="E208" s="120">
        <f>IF($B208="","",IFERROR(INDEX(Productos!$F:$F,MATCH($B208,Productos!$A:$A,0)),0))</f>
        <v>5200</v>
      </c>
      <c r="F208" s="120">
        <f t="shared" si="9"/>
        <v>15600</v>
      </c>
      <c r="G208" s="120">
        <f>IF($B208="","",IFERROR(INDEX(Productos!$E:$E,MATCH($B208,Productos!$A:$A,0)),0))</f>
        <v>3900</v>
      </c>
      <c r="H208" s="120">
        <f t="shared" si="10"/>
        <v>11700</v>
      </c>
      <c r="I208" s="120">
        <f t="shared" si="11"/>
        <v>3900</v>
      </c>
      <c r="J208" s="52" t="s">
        <v>104</v>
      </c>
      <c r="K208" s="52" t="s">
        <v>78</v>
      </c>
      <c r="L208" s="119" t="str">
        <f>IF($B208="","",IFERROR(INDEX(Productos!$C:$C,MATCH($B208,Productos!$A:$A,0)),""))</f>
        <v>Panadería</v>
      </c>
    </row>
    <row r="209" spans="1:12" ht="15" customHeight="1" x14ac:dyDescent="0.3">
      <c r="A209" s="51">
        <v>46220</v>
      </c>
      <c r="B209" s="52" t="s">
        <v>146</v>
      </c>
      <c r="C209" s="119" t="str">
        <f>IF($B209="","",IFERROR(INDEX(Productos!$B:$B,MATCH($B209,Productos!$A:$A,0)),""))</f>
        <v>Galletas surtidas</v>
      </c>
      <c r="D209" s="53">
        <v>2</v>
      </c>
      <c r="E209" s="120">
        <f>IF($B209="","",IFERROR(INDEX(Productos!$F:$F,MATCH($B209,Productos!$A:$A,0)),0))</f>
        <v>2700</v>
      </c>
      <c r="F209" s="120">
        <f t="shared" si="9"/>
        <v>5400</v>
      </c>
      <c r="G209" s="120">
        <f>IF($B209="","",IFERROR(INDEX(Productos!$E:$E,MATCH($B209,Productos!$A:$A,0)),0))</f>
        <v>1800</v>
      </c>
      <c r="H209" s="120">
        <f t="shared" si="10"/>
        <v>3600</v>
      </c>
      <c r="I209" s="120">
        <f t="shared" si="11"/>
        <v>1800</v>
      </c>
      <c r="J209" s="52" t="s">
        <v>102</v>
      </c>
      <c r="K209" s="52" t="s">
        <v>81</v>
      </c>
      <c r="L209" s="119" t="str">
        <f>IF($B209="","",IFERROR(INDEX(Productos!$C:$C,MATCH($B209,Productos!$A:$A,0)),""))</f>
        <v>Snacks</v>
      </c>
    </row>
    <row r="210" spans="1:12" ht="15" customHeight="1" x14ac:dyDescent="0.3">
      <c r="A210" s="51">
        <v>46220</v>
      </c>
      <c r="B210" s="52" t="s">
        <v>149</v>
      </c>
      <c r="C210" s="119" t="str">
        <f>IF($B210="","",IFERROR(INDEX(Productos!$B:$B,MATCH($B210,Productos!$A:$A,0)),""))</f>
        <v>Papas fritas 105 g</v>
      </c>
      <c r="D210" s="53">
        <v>1</v>
      </c>
      <c r="E210" s="120">
        <f>IF($B210="","",IFERROR(INDEX(Productos!$F:$F,MATCH($B210,Productos!$A:$A,0)),0))</f>
        <v>4800</v>
      </c>
      <c r="F210" s="120">
        <f t="shared" si="9"/>
        <v>4800</v>
      </c>
      <c r="G210" s="120">
        <f>IF($B210="","",IFERROR(INDEX(Productos!$E:$E,MATCH($B210,Productos!$A:$A,0)),0))</f>
        <v>3200</v>
      </c>
      <c r="H210" s="120">
        <f t="shared" si="10"/>
        <v>3200</v>
      </c>
      <c r="I210" s="120">
        <f t="shared" si="11"/>
        <v>1600</v>
      </c>
      <c r="J210" s="52" t="s">
        <v>106</v>
      </c>
      <c r="K210" s="52" t="s">
        <v>78</v>
      </c>
      <c r="L210" s="119" t="str">
        <f>IF($B210="","",IFERROR(INDEX(Productos!$C:$C,MATCH($B210,Productos!$A:$A,0)),""))</f>
        <v>Snacks</v>
      </c>
    </row>
    <row r="211" spans="1:12" ht="15" customHeight="1" x14ac:dyDescent="0.3">
      <c r="A211" s="51">
        <v>46220</v>
      </c>
      <c r="B211" s="52" t="s">
        <v>156</v>
      </c>
      <c r="C211" s="119" t="str">
        <f>IF($B211="","",IFERROR(INDEX(Productos!$B:$B,MATCH($B211,Productos!$A:$A,0)),""))</f>
        <v>Papel higiénico x 4</v>
      </c>
      <c r="D211" s="53">
        <v>2</v>
      </c>
      <c r="E211" s="120">
        <f>IF($B211="","",IFERROR(INDEX(Productos!$F:$F,MATCH($B211,Productos!$A:$A,0)),0))</f>
        <v>7800</v>
      </c>
      <c r="F211" s="120">
        <f t="shared" si="9"/>
        <v>15600</v>
      </c>
      <c r="G211" s="120">
        <f>IF($B211="","",IFERROR(INDEX(Productos!$E:$E,MATCH($B211,Productos!$A:$A,0)),0))</f>
        <v>5600</v>
      </c>
      <c r="H211" s="120">
        <f t="shared" si="10"/>
        <v>11200</v>
      </c>
      <c r="I211" s="120">
        <f t="shared" si="11"/>
        <v>4400</v>
      </c>
      <c r="J211" s="52" t="s">
        <v>104</v>
      </c>
      <c r="K211" s="52" t="s">
        <v>79</v>
      </c>
      <c r="L211" s="119" t="str">
        <f>IF($B211="","",IFERROR(INDEX(Productos!$C:$C,MATCH($B211,Productos!$A:$A,0)),""))</f>
        <v>Aseo hogar</v>
      </c>
    </row>
    <row r="212" spans="1:12" ht="15" customHeight="1" x14ac:dyDescent="0.3">
      <c r="A212" s="51">
        <v>46220</v>
      </c>
      <c r="B212" s="52" t="s">
        <v>158</v>
      </c>
      <c r="C212" s="119" t="str">
        <f>IF($B212="","",IFERROR(INDEX(Productos!$B:$B,MATCH($B212,Productos!$A:$A,0)),""))</f>
        <v>Huevos AA x 12</v>
      </c>
      <c r="D212" s="53">
        <v>1</v>
      </c>
      <c r="E212" s="120">
        <f>IF($B212="","",IFERROR(INDEX(Productos!$F:$F,MATCH($B212,Productos!$A:$A,0)),0))</f>
        <v>12000</v>
      </c>
      <c r="F212" s="120">
        <f t="shared" si="9"/>
        <v>12000</v>
      </c>
      <c r="G212" s="120">
        <f>IF($B212="","",IFERROR(INDEX(Productos!$E:$E,MATCH($B212,Productos!$A:$A,0)),0))</f>
        <v>9200</v>
      </c>
      <c r="H212" s="120">
        <f t="shared" si="10"/>
        <v>9200</v>
      </c>
      <c r="I212" s="120">
        <f t="shared" si="11"/>
        <v>2800</v>
      </c>
      <c r="J212" s="52" t="s">
        <v>108</v>
      </c>
      <c r="K212" s="52" t="s">
        <v>80</v>
      </c>
      <c r="L212" s="119" t="str">
        <f>IF($B212="","",IFERROR(INDEX(Productos!$C:$C,MATCH($B212,Productos!$A:$A,0)),""))</f>
        <v>Perecederos</v>
      </c>
    </row>
    <row r="213" spans="1:12" ht="15" customHeight="1" x14ac:dyDescent="0.3">
      <c r="A213" s="51">
        <v>46220</v>
      </c>
      <c r="B213" s="52" t="s">
        <v>163</v>
      </c>
      <c r="C213" s="119" t="str">
        <f>IF($B213="","",IFERROR(INDEX(Productos!$B:$B,MATCH($B213,Productos!$A:$A,0)),""))</f>
        <v>Tomate kg</v>
      </c>
      <c r="D213" s="53">
        <v>1</v>
      </c>
      <c r="E213" s="120">
        <f>IF($B213="","",IFERROR(INDEX(Productos!$F:$F,MATCH($B213,Productos!$A:$A,0)),0))</f>
        <v>4200</v>
      </c>
      <c r="F213" s="120">
        <f t="shared" si="9"/>
        <v>4200</v>
      </c>
      <c r="G213" s="120">
        <f>IF($B213="","",IFERROR(INDEX(Productos!$E:$E,MATCH($B213,Productos!$A:$A,0)),0))</f>
        <v>2800</v>
      </c>
      <c r="H213" s="120">
        <f t="shared" si="10"/>
        <v>2800</v>
      </c>
      <c r="I213" s="120">
        <f t="shared" si="11"/>
        <v>1400</v>
      </c>
      <c r="J213" s="52" t="s">
        <v>106</v>
      </c>
      <c r="K213" s="52" t="s">
        <v>78</v>
      </c>
      <c r="L213" s="119" t="str">
        <f>IF($B213="","",IFERROR(INDEX(Productos!$C:$C,MATCH($B213,Productos!$A:$A,0)),""))</f>
        <v>Frutas y verduras</v>
      </c>
    </row>
    <row r="214" spans="1:12" ht="15" customHeight="1" x14ac:dyDescent="0.3">
      <c r="A214" s="51">
        <v>46220</v>
      </c>
      <c r="B214" s="52" t="s">
        <v>168</v>
      </c>
      <c r="C214" s="119" t="str">
        <f>IF($B214="","",IFERROR(INDEX(Productos!$B:$B,MATCH($B214,Productos!$A:$A,0)),""))</f>
        <v>Banano kg</v>
      </c>
      <c r="D214" s="53">
        <v>2</v>
      </c>
      <c r="E214" s="120">
        <f>IF($B214="","",IFERROR(INDEX(Productos!$F:$F,MATCH($B214,Productos!$A:$A,0)),0))</f>
        <v>3400</v>
      </c>
      <c r="F214" s="120">
        <f t="shared" si="9"/>
        <v>6800</v>
      </c>
      <c r="G214" s="120">
        <f>IF($B214="","",IFERROR(INDEX(Productos!$E:$E,MATCH($B214,Productos!$A:$A,0)),0))</f>
        <v>2200</v>
      </c>
      <c r="H214" s="120">
        <f t="shared" si="10"/>
        <v>4400</v>
      </c>
      <c r="I214" s="120">
        <f t="shared" si="11"/>
        <v>2400</v>
      </c>
      <c r="J214" s="52" t="s">
        <v>102</v>
      </c>
      <c r="K214" s="52" t="s">
        <v>78</v>
      </c>
      <c r="L214" s="119" t="str">
        <f>IF($B214="","",IFERROR(INDEX(Productos!$C:$C,MATCH($B214,Productos!$A:$A,0)),""))</f>
        <v>Frutas y verduras</v>
      </c>
    </row>
    <row r="215" spans="1:12" ht="15" customHeight="1" x14ac:dyDescent="0.3">
      <c r="A215" s="51">
        <v>46221</v>
      </c>
      <c r="B215" s="52" t="s">
        <v>121</v>
      </c>
      <c r="C215" s="119" t="str">
        <f>IF($B215="","",IFERROR(INDEX(Productos!$B:$B,MATCH($B215,Productos!$A:$A,0)),""))</f>
        <v>Arroz x 500 g</v>
      </c>
      <c r="D215" s="53">
        <v>1</v>
      </c>
      <c r="E215" s="120">
        <f>IF($B215="","",IFERROR(INDEX(Productos!$F:$F,MATCH($B215,Productos!$A:$A,0)),0))</f>
        <v>2600</v>
      </c>
      <c r="F215" s="120">
        <f t="shared" si="9"/>
        <v>2600</v>
      </c>
      <c r="G215" s="120">
        <f>IF($B215="","",IFERROR(INDEX(Productos!$E:$E,MATCH($B215,Productos!$A:$A,0)),0))</f>
        <v>1850</v>
      </c>
      <c r="H215" s="120">
        <f t="shared" si="10"/>
        <v>1850</v>
      </c>
      <c r="I215" s="120">
        <f t="shared" si="11"/>
        <v>750</v>
      </c>
      <c r="J215" s="52" t="s">
        <v>102</v>
      </c>
      <c r="K215" s="52" t="s">
        <v>78</v>
      </c>
      <c r="L215" s="119" t="str">
        <f>IF($B215="","",IFERROR(INDEX(Productos!$C:$C,MATCH($B215,Productos!$A:$A,0)),""))</f>
        <v>Granos y abarrotes</v>
      </c>
    </row>
    <row r="216" spans="1:12" ht="15" customHeight="1" x14ac:dyDescent="0.3">
      <c r="A216" s="51">
        <v>46221</v>
      </c>
      <c r="B216" s="52" t="s">
        <v>124</v>
      </c>
      <c r="C216" s="119" t="str">
        <f>IF($B216="","",IFERROR(INDEX(Productos!$B:$B,MATCH($B216,Productos!$A:$A,0)),""))</f>
        <v>Aceite girasol 1 L</v>
      </c>
      <c r="D216" s="53">
        <v>1</v>
      </c>
      <c r="E216" s="120">
        <f>IF($B216="","",IFERROR(INDEX(Productos!$F:$F,MATCH($B216,Productos!$A:$A,0)),0))</f>
        <v>9500</v>
      </c>
      <c r="F216" s="120">
        <f t="shared" si="9"/>
        <v>9500</v>
      </c>
      <c r="G216" s="120">
        <f>IF($B216="","",IFERROR(INDEX(Productos!$E:$E,MATCH($B216,Productos!$A:$A,0)),0))</f>
        <v>7200</v>
      </c>
      <c r="H216" s="120">
        <f t="shared" si="10"/>
        <v>7200</v>
      </c>
      <c r="I216" s="120">
        <f t="shared" si="11"/>
        <v>2300</v>
      </c>
      <c r="J216" s="52" t="s">
        <v>106</v>
      </c>
      <c r="K216" s="52" t="s">
        <v>78</v>
      </c>
      <c r="L216" s="119" t="str">
        <f>IF($B216="","",IFERROR(INDEX(Productos!$C:$C,MATCH($B216,Productos!$A:$A,0)),""))</f>
        <v>Granos y abarrotes</v>
      </c>
    </row>
    <row r="217" spans="1:12" ht="15" customHeight="1" x14ac:dyDescent="0.3">
      <c r="A217" s="51">
        <v>46221</v>
      </c>
      <c r="B217" s="52" t="s">
        <v>129</v>
      </c>
      <c r="C217" s="119" t="str">
        <f>IF($B217="","",IFERROR(INDEX(Productos!$B:$B,MATCH($B217,Productos!$A:$A,0)),""))</f>
        <v>Leche entera 1 L</v>
      </c>
      <c r="D217" s="53">
        <v>4</v>
      </c>
      <c r="E217" s="120">
        <f>IF($B217="","",IFERROR(INDEX(Productos!$F:$F,MATCH($B217,Productos!$A:$A,0)),0))</f>
        <v>3900</v>
      </c>
      <c r="F217" s="120">
        <f t="shared" si="9"/>
        <v>15600</v>
      </c>
      <c r="G217" s="120">
        <f>IF($B217="","",IFERROR(INDEX(Productos!$E:$E,MATCH($B217,Productos!$A:$A,0)),0))</f>
        <v>3100</v>
      </c>
      <c r="H217" s="120">
        <f t="shared" si="10"/>
        <v>12400</v>
      </c>
      <c r="I217" s="120">
        <f t="shared" si="11"/>
        <v>3200</v>
      </c>
      <c r="J217" s="52" t="s">
        <v>102</v>
      </c>
      <c r="K217" s="52" t="s">
        <v>79</v>
      </c>
      <c r="L217" s="119" t="str">
        <f>IF($B217="","",IFERROR(INDEX(Productos!$C:$C,MATCH($B217,Productos!$A:$A,0)),""))</f>
        <v>Lácteos</v>
      </c>
    </row>
    <row r="218" spans="1:12" ht="15" customHeight="1" x14ac:dyDescent="0.3">
      <c r="A218" s="51">
        <v>46221</v>
      </c>
      <c r="B218" s="52" t="s">
        <v>132</v>
      </c>
      <c r="C218" s="119" t="str">
        <f>IF($B218="","",IFERROR(INDEX(Productos!$B:$B,MATCH($B218,Productos!$A:$A,0)),""))</f>
        <v>Queso campesino 500 g</v>
      </c>
      <c r="D218" s="53">
        <v>2</v>
      </c>
      <c r="E218" s="120">
        <f>IF($B218="","",IFERROR(INDEX(Productos!$F:$F,MATCH($B218,Productos!$A:$A,0)),0))</f>
        <v>13500</v>
      </c>
      <c r="F218" s="120">
        <f t="shared" si="9"/>
        <v>27000</v>
      </c>
      <c r="G218" s="120">
        <f>IF($B218="","",IFERROR(INDEX(Productos!$E:$E,MATCH($B218,Productos!$A:$A,0)),0))</f>
        <v>9800</v>
      </c>
      <c r="H218" s="120">
        <f t="shared" si="10"/>
        <v>19600</v>
      </c>
      <c r="I218" s="120">
        <f t="shared" si="11"/>
        <v>7400</v>
      </c>
      <c r="J218" s="52" t="s">
        <v>102</v>
      </c>
      <c r="K218" s="52" t="s">
        <v>78</v>
      </c>
      <c r="L218" s="119" t="str">
        <f>IF($B218="","",IFERROR(INDEX(Productos!$C:$C,MATCH($B218,Productos!$A:$A,0)),""))</f>
        <v>Lácteos</v>
      </c>
    </row>
    <row r="219" spans="1:12" ht="15" customHeight="1" x14ac:dyDescent="0.3">
      <c r="A219" s="51">
        <v>46221</v>
      </c>
      <c r="B219" s="52" t="s">
        <v>136</v>
      </c>
      <c r="C219" s="119" t="str">
        <f>IF($B219="","",IFERROR(INDEX(Productos!$B:$B,MATCH($B219,Productos!$A:$A,0)),""))</f>
        <v>Gaseosa 1,5 L</v>
      </c>
      <c r="D219" s="53">
        <v>1</v>
      </c>
      <c r="E219" s="120">
        <f>IF($B219="","",IFERROR(INDEX(Productos!$F:$F,MATCH($B219,Productos!$A:$A,0)),0))</f>
        <v>4500</v>
      </c>
      <c r="F219" s="120">
        <f t="shared" si="9"/>
        <v>4500</v>
      </c>
      <c r="G219" s="120">
        <f>IF($B219="","",IFERROR(INDEX(Productos!$E:$E,MATCH($B219,Productos!$A:$A,0)),0))</f>
        <v>3400</v>
      </c>
      <c r="H219" s="120">
        <f t="shared" si="10"/>
        <v>3400</v>
      </c>
      <c r="I219" s="120">
        <f t="shared" si="11"/>
        <v>1100</v>
      </c>
      <c r="J219" s="52" t="s">
        <v>102</v>
      </c>
      <c r="K219" s="52" t="s">
        <v>79</v>
      </c>
      <c r="L219" s="119" t="str">
        <f>IF($B219="","",IFERROR(INDEX(Productos!$C:$C,MATCH($B219,Productos!$A:$A,0)),""))</f>
        <v>Bebidas</v>
      </c>
    </row>
    <row r="220" spans="1:12" ht="15" customHeight="1" x14ac:dyDescent="0.3">
      <c r="A220" s="51">
        <v>46221</v>
      </c>
      <c r="B220" s="52" t="s">
        <v>139</v>
      </c>
      <c r="C220" s="119" t="str">
        <f>IF($B220="","",IFERROR(INDEX(Productos!$B:$B,MATCH($B220,Productos!$A:$A,0)),""))</f>
        <v>Agua 600 ml</v>
      </c>
      <c r="D220" s="53">
        <v>1</v>
      </c>
      <c r="E220" s="120">
        <f>IF($B220="","",IFERROR(INDEX(Productos!$F:$F,MATCH($B220,Productos!$A:$A,0)),0))</f>
        <v>1800</v>
      </c>
      <c r="F220" s="120">
        <f t="shared" si="9"/>
        <v>1800</v>
      </c>
      <c r="G220" s="120">
        <f>IF($B220="","",IFERROR(INDEX(Productos!$E:$E,MATCH($B220,Productos!$A:$A,0)),0))</f>
        <v>1200</v>
      </c>
      <c r="H220" s="120">
        <f t="shared" si="10"/>
        <v>1200</v>
      </c>
      <c r="I220" s="120">
        <f t="shared" si="11"/>
        <v>600</v>
      </c>
      <c r="J220" s="52" t="s">
        <v>106</v>
      </c>
      <c r="K220" s="52" t="s">
        <v>79</v>
      </c>
      <c r="L220" s="119" t="str">
        <f>IF($B220="","",IFERROR(INDEX(Productos!$C:$C,MATCH($B220,Productos!$A:$A,0)),""))</f>
        <v>Bebidas</v>
      </c>
    </row>
    <row r="221" spans="1:12" ht="15" customHeight="1" x14ac:dyDescent="0.3">
      <c r="A221" s="51">
        <v>46221</v>
      </c>
      <c r="B221" s="52" t="s">
        <v>141</v>
      </c>
      <c r="C221" s="119" t="str">
        <f>IF($B221="","",IFERROR(INDEX(Productos!$B:$B,MATCH($B221,Productos!$A:$A,0)),""))</f>
        <v>Cerveza lata 330 ml</v>
      </c>
      <c r="D221" s="53">
        <v>4</v>
      </c>
      <c r="E221" s="120">
        <f>IF($B221="","",IFERROR(INDEX(Productos!$F:$F,MATCH($B221,Productos!$A:$A,0)),0))</f>
        <v>3800</v>
      </c>
      <c r="F221" s="120">
        <f t="shared" si="9"/>
        <v>15200</v>
      </c>
      <c r="G221" s="120">
        <f>IF($B221="","",IFERROR(INDEX(Productos!$E:$E,MATCH($B221,Productos!$A:$A,0)),0))</f>
        <v>2600</v>
      </c>
      <c r="H221" s="120">
        <f t="shared" si="10"/>
        <v>10400</v>
      </c>
      <c r="I221" s="120">
        <f t="shared" si="11"/>
        <v>4800</v>
      </c>
      <c r="J221" s="52" t="s">
        <v>106</v>
      </c>
      <c r="K221" s="52" t="s">
        <v>79</v>
      </c>
      <c r="L221" s="119" t="str">
        <f>IF($B221="","",IFERROR(INDEX(Productos!$C:$C,MATCH($B221,Productos!$A:$A,0)),""))</f>
        <v>Bebidas</v>
      </c>
    </row>
    <row r="222" spans="1:12" ht="15" customHeight="1" x14ac:dyDescent="0.3">
      <c r="A222" s="51">
        <v>46221</v>
      </c>
      <c r="B222" s="52" t="s">
        <v>143</v>
      </c>
      <c r="C222" s="119" t="str">
        <f>IF($B222="","",IFERROR(INDEX(Productos!$B:$B,MATCH($B222,Productos!$A:$A,0)),""))</f>
        <v>Pan tajado 500 g</v>
      </c>
      <c r="D222" s="53">
        <v>1</v>
      </c>
      <c r="E222" s="120">
        <f>IF($B222="","",IFERROR(INDEX(Productos!$F:$F,MATCH($B222,Productos!$A:$A,0)),0))</f>
        <v>5200</v>
      </c>
      <c r="F222" s="120">
        <f t="shared" si="9"/>
        <v>5200</v>
      </c>
      <c r="G222" s="120">
        <f>IF($B222="","",IFERROR(INDEX(Productos!$E:$E,MATCH($B222,Productos!$A:$A,0)),0))</f>
        <v>3900</v>
      </c>
      <c r="H222" s="120">
        <f t="shared" si="10"/>
        <v>3900</v>
      </c>
      <c r="I222" s="120">
        <f t="shared" si="11"/>
        <v>1300</v>
      </c>
      <c r="J222" s="52" t="s">
        <v>102</v>
      </c>
      <c r="K222" s="52" t="s">
        <v>79</v>
      </c>
      <c r="L222" s="119" t="str">
        <f>IF($B222="","",IFERROR(INDEX(Productos!$C:$C,MATCH($B222,Productos!$A:$A,0)),""))</f>
        <v>Panadería</v>
      </c>
    </row>
    <row r="223" spans="1:12" ht="15" customHeight="1" x14ac:dyDescent="0.3">
      <c r="A223" s="51">
        <v>46221</v>
      </c>
      <c r="B223" s="52" t="s">
        <v>146</v>
      </c>
      <c r="C223" s="119" t="str">
        <f>IF($B223="","",IFERROR(INDEX(Productos!$B:$B,MATCH($B223,Productos!$A:$A,0)),""))</f>
        <v>Galletas surtidas</v>
      </c>
      <c r="D223" s="53">
        <v>2</v>
      </c>
      <c r="E223" s="120">
        <f>IF($B223="","",IFERROR(INDEX(Productos!$F:$F,MATCH($B223,Productos!$A:$A,0)),0))</f>
        <v>2700</v>
      </c>
      <c r="F223" s="120">
        <f t="shared" si="9"/>
        <v>5400</v>
      </c>
      <c r="G223" s="120">
        <f>IF($B223="","",IFERROR(INDEX(Productos!$E:$E,MATCH($B223,Productos!$A:$A,0)),0))</f>
        <v>1800</v>
      </c>
      <c r="H223" s="120">
        <f t="shared" si="10"/>
        <v>3600</v>
      </c>
      <c r="I223" s="120">
        <f t="shared" si="11"/>
        <v>1800</v>
      </c>
      <c r="J223" s="52" t="s">
        <v>104</v>
      </c>
      <c r="K223" s="52" t="s">
        <v>78</v>
      </c>
      <c r="L223" s="119" t="str">
        <f>IF($B223="","",IFERROR(INDEX(Productos!$C:$C,MATCH($B223,Productos!$A:$A,0)),""))</f>
        <v>Snacks</v>
      </c>
    </row>
    <row r="224" spans="1:12" ht="15" customHeight="1" x14ac:dyDescent="0.3">
      <c r="A224" s="51">
        <v>46221</v>
      </c>
      <c r="B224" s="52" t="s">
        <v>151</v>
      </c>
      <c r="C224" s="119" t="str">
        <f>IF($B224="","",IFERROR(INDEX(Productos!$B:$B,MATCH($B224,Productos!$A:$A,0)),""))</f>
        <v>Detergente 1 kg</v>
      </c>
      <c r="D224" s="53">
        <v>4</v>
      </c>
      <c r="E224" s="120">
        <f>IF($B224="","",IFERROR(INDEX(Productos!$F:$F,MATCH($B224,Productos!$A:$A,0)),0))</f>
        <v>9200</v>
      </c>
      <c r="F224" s="120">
        <f t="shared" si="9"/>
        <v>36800</v>
      </c>
      <c r="G224" s="120">
        <f>IF($B224="","",IFERROR(INDEX(Productos!$E:$E,MATCH($B224,Productos!$A:$A,0)),0))</f>
        <v>6800</v>
      </c>
      <c r="H224" s="120">
        <f t="shared" si="10"/>
        <v>27200</v>
      </c>
      <c r="I224" s="120">
        <f t="shared" si="11"/>
        <v>9600</v>
      </c>
      <c r="J224" s="52" t="s">
        <v>106</v>
      </c>
      <c r="K224" s="52" t="s">
        <v>78</v>
      </c>
      <c r="L224" s="119" t="str">
        <f>IF($B224="","",IFERROR(INDEX(Productos!$C:$C,MATCH($B224,Productos!$A:$A,0)),""))</f>
        <v>Aseo hogar</v>
      </c>
    </row>
    <row r="225" spans="1:12" ht="15" customHeight="1" x14ac:dyDescent="0.3">
      <c r="A225" s="51">
        <v>46221</v>
      </c>
      <c r="B225" s="52" t="s">
        <v>158</v>
      </c>
      <c r="C225" s="119" t="str">
        <f>IF($B225="","",IFERROR(INDEX(Productos!$B:$B,MATCH($B225,Productos!$A:$A,0)),""))</f>
        <v>Huevos AA x 12</v>
      </c>
      <c r="D225" s="53">
        <v>1</v>
      </c>
      <c r="E225" s="120">
        <f>IF($B225="","",IFERROR(INDEX(Productos!$F:$F,MATCH($B225,Productos!$A:$A,0)),0))</f>
        <v>12000</v>
      </c>
      <c r="F225" s="120">
        <f t="shared" si="9"/>
        <v>12000</v>
      </c>
      <c r="G225" s="120">
        <f>IF($B225="","",IFERROR(INDEX(Productos!$E:$E,MATCH($B225,Productos!$A:$A,0)),0))</f>
        <v>9200</v>
      </c>
      <c r="H225" s="120">
        <f t="shared" si="10"/>
        <v>9200</v>
      </c>
      <c r="I225" s="120">
        <f t="shared" si="11"/>
        <v>2800</v>
      </c>
      <c r="J225" s="52" t="s">
        <v>108</v>
      </c>
      <c r="K225" s="52" t="s">
        <v>78</v>
      </c>
      <c r="L225" s="119" t="str">
        <f>IF($B225="","",IFERROR(INDEX(Productos!$C:$C,MATCH($B225,Productos!$A:$A,0)),""))</f>
        <v>Perecederos</v>
      </c>
    </row>
    <row r="226" spans="1:12" ht="15" customHeight="1" x14ac:dyDescent="0.3">
      <c r="A226" s="51">
        <v>46221</v>
      </c>
      <c r="B226" s="52" t="s">
        <v>163</v>
      </c>
      <c r="C226" s="119" t="str">
        <f>IF($B226="","",IFERROR(INDEX(Productos!$B:$B,MATCH($B226,Productos!$A:$A,0)),""))</f>
        <v>Tomate kg</v>
      </c>
      <c r="D226" s="53">
        <v>2</v>
      </c>
      <c r="E226" s="120">
        <f>IF($B226="","",IFERROR(INDEX(Productos!$F:$F,MATCH($B226,Productos!$A:$A,0)),0))</f>
        <v>4200</v>
      </c>
      <c r="F226" s="120">
        <f t="shared" si="9"/>
        <v>8400</v>
      </c>
      <c r="G226" s="120">
        <f>IF($B226="","",IFERROR(INDEX(Productos!$E:$E,MATCH($B226,Productos!$A:$A,0)),0))</f>
        <v>2800</v>
      </c>
      <c r="H226" s="120">
        <f t="shared" si="10"/>
        <v>5600</v>
      </c>
      <c r="I226" s="120">
        <f t="shared" si="11"/>
        <v>2800</v>
      </c>
      <c r="J226" s="52" t="s">
        <v>102</v>
      </c>
      <c r="K226" s="52" t="s">
        <v>78</v>
      </c>
      <c r="L226" s="119" t="str">
        <f>IF($B226="","",IFERROR(INDEX(Productos!$C:$C,MATCH($B226,Productos!$A:$A,0)),""))</f>
        <v>Frutas y verduras</v>
      </c>
    </row>
    <row r="227" spans="1:12" ht="15" customHeight="1" x14ac:dyDescent="0.3">
      <c r="A227" s="51">
        <v>46221</v>
      </c>
      <c r="B227" s="52" t="s">
        <v>166</v>
      </c>
      <c r="C227" s="119" t="str">
        <f>IF($B227="","",IFERROR(INDEX(Productos!$B:$B,MATCH($B227,Productos!$A:$A,0)),""))</f>
        <v>Papa kg</v>
      </c>
      <c r="D227" s="53">
        <v>2</v>
      </c>
      <c r="E227" s="120">
        <f>IF($B227="","",IFERROR(INDEX(Productos!$F:$F,MATCH($B227,Productos!$A:$A,0)),0))</f>
        <v>2800</v>
      </c>
      <c r="F227" s="120">
        <f t="shared" si="9"/>
        <v>5600</v>
      </c>
      <c r="G227" s="120">
        <f>IF($B227="","",IFERROR(INDEX(Productos!$E:$E,MATCH($B227,Productos!$A:$A,0)),0))</f>
        <v>1900</v>
      </c>
      <c r="H227" s="120">
        <f t="shared" si="10"/>
        <v>3800</v>
      </c>
      <c r="I227" s="120">
        <f t="shared" si="11"/>
        <v>1800</v>
      </c>
      <c r="J227" s="52" t="s">
        <v>104</v>
      </c>
      <c r="K227" s="52" t="s">
        <v>78</v>
      </c>
      <c r="L227" s="119" t="str">
        <f>IF($B227="","",IFERROR(INDEX(Productos!$C:$C,MATCH($B227,Productos!$A:$A,0)),""))</f>
        <v>Frutas y verduras</v>
      </c>
    </row>
    <row r="228" spans="1:12" ht="15" customHeight="1" x14ac:dyDescent="0.3">
      <c r="A228" s="51">
        <v>46221</v>
      </c>
      <c r="B228" s="52" t="s">
        <v>168</v>
      </c>
      <c r="C228" s="119" t="str">
        <f>IF($B228="","",IFERROR(INDEX(Productos!$B:$B,MATCH($B228,Productos!$A:$A,0)),""))</f>
        <v>Banano kg</v>
      </c>
      <c r="D228" s="53">
        <v>2</v>
      </c>
      <c r="E228" s="120">
        <f>IF($B228="","",IFERROR(INDEX(Productos!$F:$F,MATCH($B228,Productos!$A:$A,0)),0))</f>
        <v>3400</v>
      </c>
      <c r="F228" s="120">
        <f t="shared" si="9"/>
        <v>6800</v>
      </c>
      <c r="G228" s="120">
        <f>IF($B228="","",IFERROR(INDEX(Productos!$E:$E,MATCH($B228,Productos!$A:$A,0)),0))</f>
        <v>2200</v>
      </c>
      <c r="H228" s="120">
        <f t="shared" si="10"/>
        <v>4400</v>
      </c>
      <c r="I228" s="120">
        <f t="shared" si="11"/>
        <v>2400</v>
      </c>
      <c r="J228" s="52" t="s">
        <v>102</v>
      </c>
      <c r="K228" s="52" t="s">
        <v>78</v>
      </c>
      <c r="L228" s="119" t="str">
        <f>IF($B228="","",IFERROR(INDEX(Productos!$C:$C,MATCH($B228,Productos!$A:$A,0)),""))</f>
        <v>Frutas y verduras</v>
      </c>
    </row>
    <row r="229" spans="1:12" ht="15" customHeight="1" x14ac:dyDescent="0.3">
      <c r="A229" s="51">
        <v>46222</v>
      </c>
      <c r="B229" s="52" t="s">
        <v>121</v>
      </c>
      <c r="C229" s="119" t="str">
        <f>IF($B229="","",IFERROR(INDEX(Productos!$B:$B,MATCH($B229,Productos!$A:$A,0)),""))</f>
        <v>Arroz x 500 g</v>
      </c>
      <c r="D229" s="53">
        <v>1</v>
      </c>
      <c r="E229" s="120">
        <f>IF($B229="","",IFERROR(INDEX(Productos!$F:$F,MATCH($B229,Productos!$A:$A,0)),0))</f>
        <v>2600</v>
      </c>
      <c r="F229" s="120">
        <f t="shared" si="9"/>
        <v>2600</v>
      </c>
      <c r="G229" s="120">
        <f>IF($B229="","",IFERROR(INDEX(Productos!$E:$E,MATCH($B229,Productos!$A:$A,0)),0))</f>
        <v>1850</v>
      </c>
      <c r="H229" s="120">
        <f t="shared" si="10"/>
        <v>1850</v>
      </c>
      <c r="I229" s="120">
        <f t="shared" si="11"/>
        <v>750</v>
      </c>
      <c r="J229" s="52" t="s">
        <v>104</v>
      </c>
      <c r="K229" s="52" t="s">
        <v>78</v>
      </c>
      <c r="L229" s="119" t="str">
        <f>IF($B229="","",IFERROR(INDEX(Productos!$C:$C,MATCH($B229,Productos!$A:$A,0)),""))</f>
        <v>Granos y abarrotes</v>
      </c>
    </row>
    <row r="230" spans="1:12" ht="15" customHeight="1" x14ac:dyDescent="0.3">
      <c r="A230" s="51">
        <v>46222</v>
      </c>
      <c r="B230" s="52" t="s">
        <v>126</v>
      </c>
      <c r="C230" s="119" t="str">
        <f>IF($B230="","",IFERROR(INDEX(Productos!$B:$B,MATCH($B230,Productos!$A:$A,0)),""))</f>
        <v>Panela x 500 g</v>
      </c>
      <c r="D230" s="53">
        <v>3</v>
      </c>
      <c r="E230" s="120">
        <f>IF($B230="","",IFERROR(INDEX(Productos!$F:$F,MATCH($B230,Productos!$A:$A,0)),0))</f>
        <v>2900</v>
      </c>
      <c r="F230" s="120">
        <f t="shared" si="9"/>
        <v>8700</v>
      </c>
      <c r="G230" s="120">
        <f>IF($B230="","",IFERROR(INDEX(Productos!$E:$E,MATCH($B230,Productos!$A:$A,0)),0))</f>
        <v>2100</v>
      </c>
      <c r="H230" s="120">
        <f t="shared" si="10"/>
        <v>6300</v>
      </c>
      <c r="I230" s="120">
        <f t="shared" si="11"/>
        <v>2400</v>
      </c>
      <c r="J230" s="52" t="s">
        <v>104</v>
      </c>
      <c r="K230" s="52" t="s">
        <v>81</v>
      </c>
      <c r="L230" s="119" t="str">
        <f>IF($B230="","",IFERROR(INDEX(Productos!$C:$C,MATCH($B230,Productos!$A:$A,0)),""))</f>
        <v>Granos y abarrotes</v>
      </c>
    </row>
    <row r="231" spans="1:12" ht="15" customHeight="1" x14ac:dyDescent="0.3">
      <c r="A231" s="51">
        <v>46222</v>
      </c>
      <c r="B231" s="52" t="s">
        <v>129</v>
      </c>
      <c r="C231" s="119" t="str">
        <f>IF($B231="","",IFERROR(INDEX(Productos!$B:$B,MATCH($B231,Productos!$A:$A,0)),""))</f>
        <v>Leche entera 1 L</v>
      </c>
      <c r="D231" s="53">
        <v>1</v>
      </c>
      <c r="E231" s="120">
        <f>IF($B231="","",IFERROR(INDEX(Productos!$F:$F,MATCH($B231,Productos!$A:$A,0)),0))</f>
        <v>3900</v>
      </c>
      <c r="F231" s="120">
        <f t="shared" si="9"/>
        <v>3900</v>
      </c>
      <c r="G231" s="120">
        <f>IF($B231="","",IFERROR(INDEX(Productos!$E:$E,MATCH($B231,Productos!$A:$A,0)),0))</f>
        <v>3100</v>
      </c>
      <c r="H231" s="120">
        <f t="shared" si="10"/>
        <v>3100</v>
      </c>
      <c r="I231" s="120">
        <f t="shared" si="11"/>
        <v>800</v>
      </c>
      <c r="J231" s="52" t="s">
        <v>106</v>
      </c>
      <c r="K231" s="52" t="s">
        <v>78</v>
      </c>
      <c r="L231" s="119" t="str">
        <f>IF($B231="","",IFERROR(INDEX(Productos!$C:$C,MATCH($B231,Productos!$A:$A,0)),""))</f>
        <v>Lácteos</v>
      </c>
    </row>
    <row r="232" spans="1:12" ht="15" customHeight="1" x14ac:dyDescent="0.3">
      <c r="A232" s="51">
        <v>46222</v>
      </c>
      <c r="B232" s="52" t="s">
        <v>132</v>
      </c>
      <c r="C232" s="119" t="str">
        <f>IF($B232="","",IFERROR(INDEX(Productos!$B:$B,MATCH($B232,Productos!$A:$A,0)),""))</f>
        <v>Queso campesino 500 g</v>
      </c>
      <c r="D232" s="53">
        <v>1</v>
      </c>
      <c r="E232" s="120">
        <f>IF($B232="","",IFERROR(INDEX(Productos!$F:$F,MATCH($B232,Productos!$A:$A,0)),0))</f>
        <v>13500</v>
      </c>
      <c r="F232" s="120">
        <f t="shared" si="9"/>
        <v>13500</v>
      </c>
      <c r="G232" s="120">
        <f>IF($B232="","",IFERROR(INDEX(Productos!$E:$E,MATCH($B232,Productos!$A:$A,0)),0))</f>
        <v>9800</v>
      </c>
      <c r="H232" s="120">
        <f t="shared" si="10"/>
        <v>9800</v>
      </c>
      <c r="I232" s="120">
        <f t="shared" si="11"/>
        <v>3700</v>
      </c>
      <c r="J232" s="52" t="s">
        <v>106</v>
      </c>
      <c r="K232" s="52" t="s">
        <v>79</v>
      </c>
      <c r="L232" s="119" t="str">
        <f>IF($B232="","",IFERROR(INDEX(Productos!$C:$C,MATCH($B232,Productos!$A:$A,0)),""))</f>
        <v>Lácteos</v>
      </c>
    </row>
    <row r="233" spans="1:12" ht="15" customHeight="1" x14ac:dyDescent="0.3">
      <c r="A233" s="51">
        <v>46222</v>
      </c>
      <c r="B233" s="52" t="s">
        <v>136</v>
      </c>
      <c r="C233" s="119" t="str">
        <f>IF($B233="","",IFERROR(INDEX(Productos!$B:$B,MATCH($B233,Productos!$A:$A,0)),""))</f>
        <v>Gaseosa 1,5 L</v>
      </c>
      <c r="D233" s="53">
        <v>2</v>
      </c>
      <c r="E233" s="120">
        <f>IF($B233="","",IFERROR(INDEX(Productos!$F:$F,MATCH($B233,Productos!$A:$A,0)),0))</f>
        <v>4500</v>
      </c>
      <c r="F233" s="120">
        <f t="shared" si="9"/>
        <v>9000</v>
      </c>
      <c r="G233" s="120">
        <f>IF($B233="","",IFERROR(INDEX(Productos!$E:$E,MATCH($B233,Productos!$A:$A,0)),0))</f>
        <v>3400</v>
      </c>
      <c r="H233" s="120">
        <f t="shared" si="10"/>
        <v>6800</v>
      </c>
      <c r="I233" s="120">
        <f t="shared" si="11"/>
        <v>2200</v>
      </c>
      <c r="J233" s="52" t="s">
        <v>104</v>
      </c>
      <c r="K233" s="52" t="s">
        <v>78</v>
      </c>
      <c r="L233" s="119" t="str">
        <f>IF($B233="","",IFERROR(INDEX(Productos!$C:$C,MATCH($B233,Productos!$A:$A,0)),""))</f>
        <v>Bebidas</v>
      </c>
    </row>
    <row r="234" spans="1:12" ht="15" customHeight="1" x14ac:dyDescent="0.3">
      <c r="A234" s="51">
        <v>46222</v>
      </c>
      <c r="B234" s="52" t="s">
        <v>139</v>
      </c>
      <c r="C234" s="119" t="str">
        <f>IF($B234="","",IFERROR(INDEX(Productos!$B:$B,MATCH($B234,Productos!$A:$A,0)),""))</f>
        <v>Agua 600 ml</v>
      </c>
      <c r="D234" s="53">
        <v>2</v>
      </c>
      <c r="E234" s="120">
        <f>IF($B234="","",IFERROR(INDEX(Productos!$F:$F,MATCH($B234,Productos!$A:$A,0)),0))</f>
        <v>1800</v>
      </c>
      <c r="F234" s="120">
        <f t="shared" si="9"/>
        <v>3600</v>
      </c>
      <c r="G234" s="120">
        <f>IF($B234="","",IFERROR(INDEX(Productos!$E:$E,MATCH($B234,Productos!$A:$A,0)),0))</f>
        <v>1200</v>
      </c>
      <c r="H234" s="120">
        <f t="shared" si="10"/>
        <v>2400</v>
      </c>
      <c r="I234" s="120">
        <f t="shared" si="11"/>
        <v>1200</v>
      </c>
      <c r="J234" s="52" t="s">
        <v>108</v>
      </c>
      <c r="K234" s="52" t="s">
        <v>79</v>
      </c>
      <c r="L234" s="119" t="str">
        <f>IF($B234="","",IFERROR(INDEX(Productos!$C:$C,MATCH($B234,Productos!$A:$A,0)),""))</f>
        <v>Bebidas</v>
      </c>
    </row>
    <row r="235" spans="1:12" ht="15" customHeight="1" x14ac:dyDescent="0.3">
      <c r="A235" s="51">
        <v>46222</v>
      </c>
      <c r="B235" s="52" t="s">
        <v>141</v>
      </c>
      <c r="C235" s="119" t="str">
        <f>IF($B235="","",IFERROR(INDEX(Productos!$B:$B,MATCH($B235,Productos!$A:$A,0)),""))</f>
        <v>Cerveza lata 330 ml</v>
      </c>
      <c r="D235" s="53">
        <v>1</v>
      </c>
      <c r="E235" s="120">
        <f>IF($B235="","",IFERROR(INDEX(Productos!$F:$F,MATCH($B235,Productos!$A:$A,0)),0))</f>
        <v>3800</v>
      </c>
      <c r="F235" s="120">
        <f t="shared" si="9"/>
        <v>3800</v>
      </c>
      <c r="G235" s="120">
        <f>IF($B235="","",IFERROR(INDEX(Productos!$E:$E,MATCH($B235,Productos!$A:$A,0)),0))</f>
        <v>2600</v>
      </c>
      <c r="H235" s="120">
        <f t="shared" si="10"/>
        <v>2600</v>
      </c>
      <c r="I235" s="120">
        <f t="shared" si="11"/>
        <v>1200</v>
      </c>
      <c r="J235" s="52" t="s">
        <v>104</v>
      </c>
      <c r="K235" s="52" t="s">
        <v>78</v>
      </c>
      <c r="L235" s="119" t="str">
        <f>IF($B235="","",IFERROR(INDEX(Productos!$C:$C,MATCH($B235,Productos!$A:$A,0)),""))</f>
        <v>Bebidas</v>
      </c>
    </row>
    <row r="236" spans="1:12" ht="15" customHeight="1" x14ac:dyDescent="0.3">
      <c r="A236" s="51">
        <v>46222</v>
      </c>
      <c r="B236" s="52" t="s">
        <v>143</v>
      </c>
      <c r="C236" s="119" t="str">
        <f>IF($B236="","",IFERROR(INDEX(Productos!$B:$B,MATCH($B236,Productos!$A:$A,0)),""))</f>
        <v>Pan tajado 500 g</v>
      </c>
      <c r="D236" s="53">
        <v>1</v>
      </c>
      <c r="E236" s="120">
        <f>IF($B236="","",IFERROR(INDEX(Productos!$F:$F,MATCH($B236,Productos!$A:$A,0)),0))</f>
        <v>5200</v>
      </c>
      <c r="F236" s="120">
        <f t="shared" si="9"/>
        <v>5200</v>
      </c>
      <c r="G236" s="120">
        <f>IF($B236="","",IFERROR(INDEX(Productos!$E:$E,MATCH($B236,Productos!$A:$A,0)),0))</f>
        <v>3900</v>
      </c>
      <c r="H236" s="120">
        <f t="shared" si="10"/>
        <v>3900</v>
      </c>
      <c r="I236" s="120">
        <f t="shared" si="11"/>
        <v>1300</v>
      </c>
      <c r="J236" s="52" t="s">
        <v>104</v>
      </c>
      <c r="K236" s="52" t="s">
        <v>78</v>
      </c>
      <c r="L236" s="119" t="str">
        <f>IF($B236="","",IFERROR(INDEX(Productos!$C:$C,MATCH($B236,Productos!$A:$A,0)),""))</f>
        <v>Panadería</v>
      </c>
    </row>
    <row r="237" spans="1:12" ht="15" customHeight="1" x14ac:dyDescent="0.3">
      <c r="A237" s="51">
        <v>46222</v>
      </c>
      <c r="B237" s="52" t="s">
        <v>146</v>
      </c>
      <c r="C237" s="119" t="str">
        <f>IF($B237="","",IFERROR(INDEX(Productos!$B:$B,MATCH($B237,Productos!$A:$A,0)),""))</f>
        <v>Galletas surtidas</v>
      </c>
      <c r="D237" s="53">
        <v>3</v>
      </c>
      <c r="E237" s="120">
        <f>IF($B237="","",IFERROR(INDEX(Productos!$F:$F,MATCH($B237,Productos!$A:$A,0)),0))</f>
        <v>2700</v>
      </c>
      <c r="F237" s="120">
        <f t="shared" si="9"/>
        <v>8100</v>
      </c>
      <c r="G237" s="120">
        <f>IF($B237="","",IFERROR(INDEX(Productos!$E:$E,MATCH($B237,Productos!$A:$A,0)),0))</f>
        <v>1800</v>
      </c>
      <c r="H237" s="120">
        <f t="shared" si="10"/>
        <v>5400</v>
      </c>
      <c r="I237" s="120">
        <f t="shared" si="11"/>
        <v>2700</v>
      </c>
      <c r="J237" s="52" t="s">
        <v>104</v>
      </c>
      <c r="K237" s="52" t="s">
        <v>78</v>
      </c>
      <c r="L237" s="119" t="str">
        <f>IF($B237="","",IFERROR(INDEX(Productos!$C:$C,MATCH($B237,Productos!$A:$A,0)),""))</f>
        <v>Snacks</v>
      </c>
    </row>
    <row r="238" spans="1:12" ht="15" customHeight="1" x14ac:dyDescent="0.3">
      <c r="A238" s="51">
        <v>46222</v>
      </c>
      <c r="B238" s="52" t="s">
        <v>151</v>
      </c>
      <c r="C238" s="119" t="str">
        <f>IF($B238="","",IFERROR(INDEX(Productos!$B:$B,MATCH($B238,Productos!$A:$A,0)),""))</f>
        <v>Detergente 1 kg</v>
      </c>
      <c r="D238" s="53">
        <v>1</v>
      </c>
      <c r="E238" s="120">
        <f>IF($B238="","",IFERROR(INDEX(Productos!$F:$F,MATCH($B238,Productos!$A:$A,0)),0))</f>
        <v>9200</v>
      </c>
      <c r="F238" s="120">
        <f t="shared" si="9"/>
        <v>9200</v>
      </c>
      <c r="G238" s="120">
        <f>IF($B238="","",IFERROR(INDEX(Productos!$E:$E,MATCH($B238,Productos!$A:$A,0)),0))</f>
        <v>6800</v>
      </c>
      <c r="H238" s="120">
        <f t="shared" si="10"/>
        <v>6800</v>
      </c>
      <c r="I238" s="120">
        <f t="shared" si="11"/>
        <v>2400</v>
      </c>
      <c r="J238" s="52" t="s">
        <v>102</v>
      </c>
      <c r="K238" s="52" t="s">
        <v>79</v>
      </c>
      <c r="L238" s="119" t="str">
        <f>IF($B238="","",IFERROR(INDEX(Productos!$C:$C,MATCH($B238,Productos!$A:$A,0)),""))</f>
        <v>Aseo hogar</v>
      </c>
    </row>
    <row r="239" spans="1:12" ht="15" customHeight="1" x14ac:dyDescent="0.3">
      <c r="A239" s="51">
        <v>46222</v>
      </c>
      <c r="B239" s="52" t="s">
        <v>154</v>
      </c>
      <c r="C239" s="119" t="str">
        <f>IF($B239="","",IFERROR(INDEX(Productos!$B:$B,MATCH($B239,Productos!$A:$A,0)),""))</f>
        <v>Jabón de barra</v>
      </c>
      <c r="D239" s="53">
        <v>1</v>
      </c>
      <c r="E239" s="120">
        <f>IF($B239="","",IFERROR(INDEX(Productos!$F:$F,MATCH($B239,Productos!$A:$A,0)),0))</f>
        <v>2800</v>
      </c>
      <c r="F239" s="120">
        <f t="shared" si="9"/>
        <v>2800</v>
      </c>
      <c r="G239" s="120">
        <f>IF($B239="","",IFERROR(INDEX(Productos!$E:$E,MATCH($B239,Productos!$A:$A,0)),0))</f>
        <v>1900</v>
      </c>
      <c r="H239" s="120">
        <f t="shared" si="10"/>
        <v>1900</v>
      </c>
      <c r="I239" s="120">
        <f t="shared" si="11"/>
        <v>900</v>
      </c>
      <c r="J239" s="52" t="s">
        <v>108</v>
      </c>
      <c r="K239" s="52" t="s">
        <v>80</v>
      </c>
      <c r="L239" s="119" t="str">
        <f>IF($B239="","",IFERROR(INDEX(Productos!$C:$C,MATCH($B239,Productos!$A:$A,0)),""))</f>
        <v>Aseo personal</v>
      </c>
    </row>
    <row r="240" spans="1:12" ht="15" customHeight="1" x14ac:dyDescent="0.3">
      <c r="A240" s="51">
        <v>46222</v>
      </c>
      <c r="B240" s="52" t="s">
        <v>156</v>
      </c>
      <c r="C240" s="119" t="str">
        <f>IF($B240="","",IFERROR(INDEX(Productos!$B:$B,MATCH($B240,Productos!$A:$A,0)),""))</f>
        <v>Papel higiénico x 4</v>
      </c>
      <c r="D240" s="53">
        <v>2</v>
      </c>
      <c r="E240" s="120">
        <f>IF($B240="","",IFERROR(INDEX(Productos!$F:$F,MATCH($B240,Productos!$A:$A,0)),0))</f>
        <v>7800</v>
      </c>
      <c r="F240" s="120">
        <f t="shared" si="9"/>
        <v>15600</v>
      </c>
      <c r="G240" s="120">
        <f>IF($B240="","",IFERROR(INDEX(Productos!$E:$E,MATCH($B240,Productos!$A:$A,0)),0))</f>
        <v>5600</v>
      </c>
      <c r="H240" s="120">
        <f t="shared" si="10"/>
        <v>11200</v>
      </c>
      <c r="I240" s="120">
        <f t="shared" si="11"/>
        <v>4400</v>
      </c>
      <c r="J240" s="52" t="s">
        <v>102</v>
      </c>
      <c r="K240" s="52" t="s">
        <v>79</v>
      </c>
      <c r="L240" s="119" t="str">
        <f>IF($B240="","",IFERROR(INDEX(Productos!$C:$C,MATCH($B240,Productos!$A:$A,0)),""))</f>
        <v>Aseo hogar</v>
      </c>
    </row>
    <row r="241" spans="1:12" ht="15" customHeight="1" x14ac:dyDescent="0.3">
      <c r="A241" s="51">
        <v>46222</v>
      </c>
      <c r="B241" s="52" t="s">
        <v>161</v>
      </c>
      <c r="C241" s="119" t="str">
        <f>IF($B241="","",IFERROR(INDEX(Productos!$B:$B,MATCH($B241,Productos!$A:$A,0)),""))</f>
        <v>Pollo entero kg</v>
      </c>
      <c r="D241" s="53">
        <v>2</v>
      </c>
      <c r="E241" s="120">
        <f>IF($B241="","",IFERROR(INDEX(Productos!$F:$F,MATCH($B241,Productos!$A:$A,0)),0))</f>
        <v>14800</v>
      </c>
      <c r="F241" s="120">
        <f t="shared" si="9"/>
        <v>29600</v>
      </c>
      <c r="G241" s="120">
        <f>IF($B241="","",IFERROR(INDEX(Productos!$E:$E,MATCH($B241,Productos!$A:$A,0)),0))</f>
        <v>11500</v>
      </c>
      <c r="H241" s="120">
        <f t="shared" si="10"/>
        <v>23000</v>
      </c>
      <c r="I241" s="120">
        <f t="shared" si="11"/>
        <v>6600</v>
      </c>
      <c r="J241" s="52" t="s">
        <v>104</v>
      </c>
      <c r="K241" s="52" t="s">
        <v>78</v>
      </c>
      <c r="L241" s="119" t="str">
        <f>IF($B241="","",IFERROR(INDEX(Productos!$C:$C,MATCH($B241,Productos!$A:$A,0)),""))</f>
        <v>Perecederos</v>
      </c>
    </row>
    <row r="242" spans="1:12" ht="15" customHeight="1" x14ac:dyDescent="0.3">
      <c r="A242" s="51">
        <v>46222</v>
      </c>
      <c r="B242" s="52" t="s">
        <v>163</v>
      </c>
      <c r="C242" s="119" t="str">
        <f>IF($B242="","",IFERROR(INDEX(Productos!$B:$B,MATCH($B242,Productos!$A:$A,0)),""))</f>
        <v>Tomate kg</v>
      </c>
      <c r="D242" s="53">
        <v>1</v>
      </c>
      <c r="E242" s="120">
        <f>IF($B242="","",IFERROR(INDEX(Productos!$F:$F,MATCH($B242,Productos!$A:$A,0)),0))</f>
        <v>4200</v>
      </c>
      <c r="F242" s="120">
        <f t="shared" si="9"/>
        <v>4200</v>
      </c>
      <c r="G242" s="120">
        <f>IF($B242="","",IFERROR(INDEX(Productos!$E:$E,MATCH($B242,Productos!$A:$A,0)),0))</f>
        <v>2800</v>
      </c>
      <c r="H242" s="120">
        <f t="shared" si="10"/>
        <v>2800</v>
      </c>
      <c r="I242" s="120">
        <f t="shared" si="11"/>
        <v>1400</v>
      </c>
      <c r="J242" s="52" t="s">
        <v>106</v>
      </c>
      <c r="K242" s="52" t="s">
        <v>78</v>
      </c>
      <c r="L242" s="119" t="str">
        <f>IF($B242="","",IFERROR(INDEX(Productos!$C:$C,MATCH($B242,Productos!$A:$A,0)),""))</f>
        <v>Frutas y verduras</v>
      </c>
    </row>
    <row r="243" spans="1:12" ht="15" customHeight="1" x14ac:dyDescent="0.3">
      <c r="A243" s="51">
        <v>46222</v>
      </c>
      <c r="B243" s="52" t="s">
        <v>166</v>
      </c>
      <c r="C243" s="119" t="str">
        <f>IF($B243="","",IFERROR(INDEX(Productos!$B:$B,MATCH($B243,Productos!$A:$A,0)),""))</f>
        <v>Papa kg</v>
      </c>
      <c r="D243" s="53">
        <v>2</v>
      </c>
      <c r="E243" s="120">
        <f>IF($B243="","",IFERROR(INDEX(Productos!$F:$F,MATCH($B243,Productos!$A:$A,0)),0))</f>
        <v>2800</v>
      </c>
      <c r="F243" s="120">
        <f t="shared" si="9"/>
        <v>5600</v>
      </c>
      <c r="G243" s="120">
        <f>IF($B243="","",IFERROR(INDEX(Productos!$E:$E,MATCH($B243,Productos!$A:$A,0)),0))</f>
        <v>1900</v>
      </c>
      <c r="H243" s="120">
        <f t="shared" si="10"/>
        <v>3800</v>
      </c>
      <c r="I243" s="120">
        <f t="shared" si="11"/>
        <v>1800</v>
      </c>
      <c r="J243" s="52" t="s">
        <v>106</v>
      </c>
      <c r="K243" s="52" t="s">
        <v>78</v>
      </c>
      <c r="L243" s="119" t="str">
        <f>IF($B243="","",IFERROR(INDEX(Productos!$C:$C,MATCH($B243,Productos!$A:$A,0)),""))</f>
        <v>Frutas y verduras</v>
      </c>
    </row>
    <row r="244" spans="1:12" ht="15" customHeight="1" x14ac:dyDescent="0.3">
      <c r="A244" s="51">
        <v>46222</v>
      </c>
      <c r="B244" s="52" t="s">
        <v>168</v>
      </c>
      <c r="C244" s="119" t="str">
        <f>IF($B244="","",IFERROR(INDEX(Productos!$B:$B,MATCH($B244,Productos!$A:$A,0)),""))</f>
        <v>Banano kg</v>
      </c>
      <c r="D244" s="53">
        <v>1</v>
      </c>
      <c r="E244" s="120">
        <f>IF($B244="","",IFERROR(INDEX(Productos!$F:$F,MATCH($B244,Productos!$A:$A,0)),0))</f>
        <v>3400</v>
      </c>
      <c r="F244" s="120">
        <f t="shared" si="9"/>
        <v>3400</v>
      </c>
      <c r="G244" s="120">
        <f>IF($B244="","",IFERROR(INDEX(Productos!$E:$E,MATCH($B244,Productos!$A:$A,0)),0))</f>
        <v>2200</v>
      </c>
      <c r="H244" s="120">
        <f t="shared" si="10"/>
        <v>2200</v>
      </c>
      <c r="I244" s="120">
        <f t="shared" si="11"/>
        <v>1200</v>
      </c>
      <c r="J244" s="52" t="s">
        <v>106</v>
      </c>
      <c r="K244" s="52" t="s">
        <v>81</v>
      </c>
      <c r="L244" s="119" t="str">
        <f>IF($B244="","",IFERROR(INDEX(Productos!$C:$C,MATCH($B244,Productos!$A:$A,0)),""))</f>
        <v>Frutas y verduras</v>
      </c>
    </row>
    <row r="245" spans="1:12" ht="15" customHeight="1" x14ac:dyDescent="0.3">
      <c r="A245" s="51">
        <v>46223</v>
      </c>
      <c r="B245" s="52" t="s">
        <v>129</v>
      </c>
      <c r="C245" s="119" t="str">
        <f>IF($B245="","",IFERROR(INDEX(Productos!$B:$B,MATCH($B245,Productos!$A:$A,0)),""))</f>
        <v>Leche entera 1 L</v>
      </c>
      <c r="D245" s="53">
        <v>1</v>
      </c>
      <c r="E245" s="120">
        <f>IF($B245="","",IFERROR(INDEX(Productos!$F:$F,MATCH($B245,Productos!$A:$A,0)),0))</f>
        <v>3900</v>
      </c>
      <c r="F245" s="120">
        <f t="shared" si="9"/>
        <v>3900</v>
      </c>
      <c r="G245" s="120">
        <f>IF($B245="","",IFERROR(INDEX(Productos!$E:$E,MATCH($B245,Productos!$A:$A,0)),0))</f>
        <v>3100</v>
      </c>
      <c r="H245" s="120">
        <f t="shared" si="10"/>
        <v>3100</v>
      </c>
      <c r="I245" s="120">
        <f t="shared" si="11"/>
        <v>800</v>
      </c>
      <c r="J245" s="52" t="s">
        <v>106</v>
      </c>
      <c r="K245" s="52" t="s">
        <v>78</v>
      </c>
      <c r="L245" s="119" t="str">
        <f>IF($B245="","",IFERROR(INDEX(Productos!$C:$C,MATCH($B245,Productos!$A:$A,0)),""))</f>
        <v>Lácteos</v>
      </c>
    </row>
    <row r="246" spans="1:12" ht="15" customHeight="1" x14ac:dyDescent="0.3">
      <c r="A246" s="51">
        <v>46223</v>
      </c>
      <c r="B246" s="52" t="s">
        <v>132</v>
      </c>
      <c r="C246" s="119" t="str">
        <f>IF($B246="","",IFERROR(INDEX(Productos!$B:$B,MATCH($B246,Productos!$A:$A,0)),""))</f>
        <v>Queso campesino 500 g</v>
      </c>
      <c r="D246" s="53">
        <v>1</v>
      </c>
      <c r="E246" s="120">
        <f>IF($B246="","",IFERROR(INDEX(Productos!$F:$F,MATCH($B246,Productos!$A:$A,0)),0))</f>
        <v>13500</v>
      </c>
      <c r="F246" s="120">
        <f t="shared" si="9"/>
        <v>13500</v>
      </c>
      <c r="G246" s="120">
        <f>IF($B246="","",IFERROR(INDEX(Productos!$E:$E,MATCH($B246,Productos!$A:$A,0)),0))</f>
        <v>9800</v>
      </c>
      <c r="H246" s="120">
        <f t="shared" si="10"/>
        <v>9800</v>
      </c>
      <c r="I246" s="120">
        <f t="shared" si="11"/>
        <v>3700</v>
      </c>
      <c r="J246" s="52" t="s">
        <v>108</v>
      </c>
      <c r="K246" s="52" t="s">
        <v>79</v>
      </c>
      <c r="L246" s="119" t="str">
        <f>IF($B246="","",IFERROR(INDEX(Productos!$C:$C,MATCH($B246,Productos!$A:$A,0)),""))</f>
        <v>Lácteos</v>
      </c>
    </row>
    <row r="247" spans="1:12" ht="15" customHeight="1" x14ac:dyDescent="0.3">
      <c r="A247" s="51">
        <v>46223</v>
      </c>
      <c r="B247" s="52" t="s">
        <v>136</v>
      </c>
      <c r="C247" s="119" t="str">
        <f>IF($B247="","",IFERROR(INDEX(Productos!$B:$B,MATCH($B247,Productos!$A:$A,0)),""))</f>
        <v>Gaseosa 1,5 L</v>
      </c>
      <c r="D247" s="53">
        <v>1</v>
      </c>
      <c r="E247" s="120">
        <f>IF($B247="","",IFERROR(INDEX(Productos!$F:$F,MATCH($B247,Productos!$A:$A,0)),0))</f>
        <v>4500</v>
      </c>
      <c r="F247" s="120">
        <f t="shared" si="9"/>
        <v>4500</v>
      </c>
      <c r="G247" s="120">
        <f>IF($B247="","",IFERROR(INDEX(Productos!$E:$E,MATCH($B247,Productos!$A:$A,0)),0))</f>
        <v>3400</v>
      </c>
      <c r="H247" s="120">
        <f t="shared" si="10"/>
        <v>3400</v>
      </c>
      <c r="I247" s="120">
        <f t="shared" si="11"/>
        <v>1100</v>
      </c>
      <c r="J247" s="52" t="s">
        <v>104</v>
      </c>
      <c r="K247" s="52" t="s">
        <v>79</v>
      </c>
      <c r="L247" s="119" t="str">
        <f>IF($B247="","",IFERROR(INDEX(Productos!$C:$C,MATCH($B247,Productos!$A:$A,0)),""))</f>
        <v>Bebidas</v>
      </c>
    </row>
    <row r="248" spans="1:12" ht="15" customHeight="1" x14ac:dyDescent="0.3">
      <c r="A248" s="51">
        <v>46223</v>
      </c>
      <c r="B248" s="52" t="s">
        <v>139</v>
      </c>
      <c r="C248" s="119" t="str">
        <f>IF($B248="","",IFERROR(INDEX(Productos!$B:$B,MATCH($B248,Productos!$A:$A,0)),""))</f>
        <v>Agua 600 ml</v>
      </c>
      <c r="D248" s="53">
        <v>1</v>
      </c>
      <c r="E248" s="120">
        <f>IF($B248="","",IFERROR(INDEX(Productos!$F:$F,MATCH($B248,Productos!$A:$A,0)),0))</f>
        <v>1800</v>
      </c>
      <c r="F248" s="120">
        <f t="shared" si="9"/>
        <v>1800</v>
      </c>
      <c r="G248" s="120">
        <f>IF($B248="","",IFERROR(INDEX(Productos!$E:$E,MATCH($B248,Productos!$A:$A,0)),0))</f>
        <v>1200</v>
      </c>
      <c r="H248" s="120">
        <f t="shared" si="10"/>
        <v>1200</v>
      </c>
      <c r="I248" s="120">
        <f t="shared" si="11"/>
        <v>600</v>
      </c>
      <c r="J248" s="52" t="s">
        <v>102</v>
      </c>
      <c r="K248" s="52" t="s">
        <v>78</v>
      </c>
      <c r="L248" s="119" t="str">
        <f>IF($B248="","",IFERROR(INDEX(Productos!$C:$C,MATCH($B248,Productos!$A:$A,0)),""))</f>
        <v>Bebidas</v>
      </c>
    </row>
    <row r="249" spans="1:12" ht="15" customHeight="1" x14ac:dyDescent="0.3">
      <c r="A249" s="51">
        <v>46223</v>
      </c>
      <c r="B249" s="52" t="s">
        <v>146</v>
      </c>
      <c r="C249" s="119" t="str">
        <f>IF($B249="","",IFERROR(INDEX(Productos!$B:$B,MATCH($B249,Productos!$A:$A,0)),""))</f>
        <v>Galletas surtidas</v>
      </c>
      <c r="D249" s="53">
        <v>3</v>
      </c>
      <c r="E249" s="120">
        <f>IF($B249="","",IFERROR(INDEX(Productos!$F:$F,MATCH($B249,Productos!$A:$A,0)),0))</f>
        <v>2700</v>
      </c>
      <c r="F249" s="120">
        <f t="shared" si="9"/>
        <v>8100</v>
      </c>
      <c r="G249" s="120">
        <f>IF($B249="","",IFERROR(INDEX(Productos!$E:$E,MATCH($B249,Productos!$A:$A,0)),0))</f>
        <v>1800</v>
      </c>
      <c r="H249" s="120">
        <f t="shared" si="10"/>
        <v>5400</v>
      </c>
      <c r="I249" s="120">
        <f t="shared" si="11"/>
        <v>2700</v>
      </c>
      <c r="J249" s="52" t="s">
        <v>102</v>
      </c>
      <c r="K249" s="52" t="s">
        <v>79</v>
      </c>
      <c r="L249" s="119" t="str">
        <f>IF($B249="","",IFERROR(INDEX(Productos!$C:$C,MATCH($B249,Productos!$A:$A,0)),""))</f>
        <v>Snacks</v>
      </c>
    </row>
    <row r="250" spans="1:12" ht="15" customHeight="1" x14ac:dyDescent="0.3">
      <c r="A250" s="51">
        <v>46223</v>
      </c>
      <c r="B250" s="52" t="s">
        <v>158</v>
      </c>
      <c r="C250" s="119" t="str">
        <f>IF($B250="","",IFERROR(INDEX(Productos!$B:$B,MATCH($B250,Productos!$A:$A,0)),""))</f>
        <v>Huevos AA x 12</v>
      </c>
      <c r="D250" s="53">
        <v>1</v>
      </c>
      <c r="E250" s="120">
        <f>IF($B250="","",IFERROR(INDEX(Productos!$F:$F,MATCH($B250,Productos!$A:$A,0)),0))</f>
        <v>12000</v>
      </c>
      <c r="F250" s="120">
        <f t="shared" si="9"/>
        <v>12000</v>
      </c>
      <c r="G250" s="120">
        <f>IF($B250="","",IFERROR(INDEX(Productos!$E:$E,MATCH($B250,Productos!$A:$A,0)),0))</f>
        <v>9200</v>
      </c>
      <c r="H250" s="120">
        <f t="shared" si="10"/>
        <v>9200</v>
      </c>
      <c r="I250" s="120">
        <f t="shared" si="11"/>
        <v>2800</v>
      </c>
      <c r="J250" s="52" t="s">
        <v>108</v>
      </c>
      <c r="K250" s="52" t="s">
        <v>79</v>
      </c>
      <c r="L250" s="119" t="str">
        <f>IF($B250="","",IFERROR(INDEX(Productos!$C:$C,MATCH($B250,Productos!$A:$A,0)),""))</f>
        <v>Perecederos</v>
      </c>
    </row>
    <row r="251" spans="1:12" ht="15" customHeight="1" x14ac:dyDescent="0.3">
      <c r="A251" s="51">
        <v>46223</v>
      </c>
      <c r="B251" s="52" t="s">
        <v>161</v>
      </c>
      <c r="C251" s="119" t="str">
        <f>IF($B251="","",IFERROR(INDEX(Productos!$B:$B,MATCH($B251,Productos!$A:$A,0)),""))</f>
        <v>Pollo entero kg</v>
      </c>
      <c r="D251" s="53">
        <v>1</v>
      </c>
      <c r="E251" s="120">
        <f>IF($B251="","",IFERROR(INDEX(Productos!$F:$F,MATCH($B251,Productos!$A:$A,0)),0))</f>
        <v>14800</v>
      </c>
      <c r="F251" s="120">
        <f t="shared" si="9"/>
        <v>14800</v>
      </c>
      <c r="G251" s="120">
        <f>IF($B251="","",IFERROR(INDEX(Productos!$E:$E,MATCH($B251,Productos!$A:$A,0)),0))</f>
        <v>11500</v>
      </c>
      <c r="H251" s="120">
        <f t="shared" si="10"/>
        <v>11500</v>
      </c>
      <c r="I251" s="120">
        <f t="shared" si="11"/>
        <v>3300</v>
      </c>
      <c r="J251" s="52" t="s">
        <v>104</v>
      </c>
      <c r="K251" s="52" t="s">
        <v>79</v>
      </c>
      <c r="L251" s="119" t="str">
        <f>IF($B251="","",IFERROR(INDEX(Productos!$C:$C,MATCH($B251,Productos!$A:$A,0)),""))</f>
        <v>Perecederos</v>
      </c>
    </row>
    <row r="252" spans="1:12" ht="15" customHeight="1" x14ac:dyDescent="0.3">
      <c r="A252" s="51">
        <v>46223</v>
      </c>
      <c r="B252" s="52" t="s">
        <v>166</v>
      </c>
      <c r="C252" s="119" t="str">
        <f>IF($B252="","",IFERROR(INDEX(Productos!$B:$B,MATCH($B252,Productos!$A:$A,0)),""))</f>
        <v>Papa kg</v>
      </c>
      <c r="D252" s="53">
        <v>3</v>
      </c>
      <c r="E252" s="120">
        <f>IF($B252="","",IFERROR(INDEX(Productos!$F:$F,MATCH($B252,Productos!$A:$A,0)),0))</f>
        <v>2800</v>
      </c>
      <c r="F252" s="120">
        <f t="shared" si="9"/>
        <v>8400</v>
      </c>
      <c r="G252" s="120">
        <f>IF($B252="","",IFERROR(INDEX(Productos!$E:$E,MATCH($B252,Productos!$A:$A,0)),0))</f>
        <v>1900</v>
      </c>
      <c r="H252" s="120">
        <f t="shared" si="10"/>
        <v>5700</v>
      </c>
      <c r="I252" s="120">
        <f t="shared" si="11"/>
        <v>2700</v>
      </c>
      <c r="J252" s="52" t="s">
        <v>102</v>
      </c>
      <c r="K252" s="52" t="s">
        <v>79</v>
      </c>
      <c r="L252" s="119" t="str">
        <f>IF($B252="","",IFERROR(INDEX(Productos!$C:$C,MATCH($B252,Productos!$A:$A,0)),""))</f>
        <v>Frutas y verduras</v>
      </c>
    </row>
    <row r="253" spans="1:12" ht="15" customHeight="1" x14ac:dyDescent="0.3">
      <c r="A253" s="51">
        <v>46224</v>
      </c>
      <c r="B253" s="52" t="s">
        <v>121</v>
      </c>
      <c r="C253" s="119" t="str">
        <f>IF($B253="","",IFERROR(INDEX(Productos!$B:$B,MATCH($B253,Productos!$A:$A,0)),""))</f>
        <v>Arroz x 500 g</v>
      </c>
      <c r="D253" s="53">
        <v>1</v>
      </c>
      <c r="E253" s="120">
        <f>IF($B253="","",IFERROR(INDEX(Productos!$F:$F,MATCH($B253,Productos!$A:$A,0)),0))</f>
        <v>2600</v>
      </c>
      <c r="F253" s="120">
        <f t="shared" si="9"/>
        <v>2600</v>
      </c>
      <c r="G253" s="120">
        <f>IF($B253="","",IFERROR(INDEX(Productos!$E:$E,MATCH($B253,Productos!$A:$A,0)),0))</f>
        <v>1850</v>
      </c>
      <c r="H253" s="120">
        <f t="shared" si="10"/>
        <v>1850</v>
      </c>
      <c r="I253" s="120">
        <f t="shared" si="11"/>
        <v>750</v>
      </c>
      <c r="J253" s="52" t="s">
        <v>106</v>
      </c>
      <c r="K253" s="52" t="s">
        <v>78</v>
      </c>
      <c r="L253" s="119" t="str">
        <f>IF($B253="","",IFERROR(INDEX(Productos!$C:$C,MATCH($B253,Productos!$A:$A,0)),""))</f>
        <v>Granos y abarrotes</v>
      </c>
    </row>
    <row r="254" spans="1:12" ht="15" customHeight="1" x14ac:dyDescent="0.3">
      <c r="A254" s="51">
        <v>46224</v>
      </c>
      <c r="B254" s="52" t="s">
        <v>124</v>
      </c>
      <c r="C254" s="119" t="str">
        <f>IF($B254="","",IFERROR(INDEX(Productos!$B:$B,MATCH($B254,Productos!$A:$A,0)),""))</f>
        <v>Aceite girasol 1 L</v>
      </c>
      <c r="D254" s="53">
        <v>2</v>
      </c>
      <c r="E254" s="120">
        <f>IF($B254="","",IFERROR(INDEX(Productos!$F:$F,MATCH($B254,Productos!$A:$A,0)),0))</f>
        <v>9500</v>
      </c>
      <c r="F254" s="120">
        <f t="shared" si="9"/>
        <v>19000</v>
      </c>
      <c r="G254" s="120">
        <f>IF($B254="","",IFERROR(INDEX(Productos!$E:$E,MATCH($B254,Productos!$A:$A,0)),0))</f>
        <v>7200</v>
      </c>
      <c r="H254" s="120">
        <f t="shared" si="10"/>
        <v>14400</v>
      </c>
      <c r="I254" s="120">
        <f t="shared" si="11"/>
        <v>4600</v>
      </c>
      <c r="J254" s="52" t="s">
        <v>104</v>
      </c>
      <c r="K254" s="52" t="s">
        <v>79</v>
      </c>
      <c r="L254" s="119" t="str">
        <f>IF($B254="","",IFERROR(INDEX(Productos!$C:$C,MATCH($B254,Productos!$A:$A,0)),""))</f>
        <v>Granos y abarrotes</v>
      </c>
    </row>
    <row r="255" spans="1:12" ht="15" customHeight="1" x14ac:dyDescent="0.3">
      <c r="A255" s="51">
        <v>46224</v>
      </c>
      <c r="B255" s="52" t="s">
        <v>126</v>
      </c>
      <c r="C255" s="119" t="str">
        <f>IF($B255="","",IFERROR(INDEX(Productos!$B:$B,MATCH($B255,Productos!$A:$A,0)),""))</f>
        <v>Panela x 500 g</v>
      </c>
      <c r="D255" s="53">
        <v>2</v>
      </c>
      <c r="E255" s="120">
        <f>IF($B255="","",IFERROR(INDEX(Productos!$F:$F,MATCH($B255,Productos!$A:$A,0)),0))</f>
        <v>2900</v>
      </c>
      <c r="F255" s="120">
        <f t="shared" si="9"/>
        <v>5800</v>
      </c>
      <c r="G255" s="120">
        <f>IF($B255="","",IFERROR(INDEX(Productos!$E:$E,MATCH($B255,Productos!$A:$A,0)),0))</f>
        <v>2100</v>
      </c>
      <c r="H255" s="120">
        <f t="shared" si="10"/>
        <v>4200</v>
      </c>
      <c r="I255" s="120">
        <f t="shared" si="11"/>
        <v>1600</v>
      </c>
      <c r="J255" s="52" t="s">
        <v>102</v>
      </c>
      <c r="K255" s="52" t="s">
        <v>78</v>
      </c>
      <c r="L255" s="119" t="str">
        <f>IF($B255="","",IFERROR(INDEX(Productos!$C:$C,MATCH($B255,Productos!$A:$A,0)),""))</f>
        <v>Granos y abarrotes</v>
      </c>
    </row>
    <row r="256" spans="1:12" ht="15" customHeight="1" x14ac:dyDescent="0.3">
      <c r="A256" s="51">
        <v>46224</v>
      </c>
      <c r="B256" s="52" t="s">
        <v>129</v>
      </c>
      <c r="C256" s="119" t="str">
        <f>IF($B256="","",IFERROR(INDEX(Productos!$B:$B,MATCH($B256,Productos!$A:$A,0)),""))</f>
        <v>Leche entera 1 L</v>
      </c>
      <c r="D256" s="53">
        <v>2</v>
      </c>
      <c r="E256" s="120">
        <f>IF($B256="","",IFERROR(INDEX(Productos!$F:$F,MATCH($B256,Productos!$A:$A,0)),0))</f>
        <v>3900</v>
      </c>
      <c r="F256" s="120">
        <f t="shared" si="9"/>
        <v>7800</v>
      </c>
      <c r="G256" s="120">
        <f>IF($B256="","",IFERROR(INDEX(Productos!$E:$E,MATCH($B256,Productos!$A:$A,0)),0))</f>
        <v>3100</v>
      </c>
      <c r="H256" s="120">
        <f t="shared" si="10"/>
        <v>6200</v>
      </c>
      <c r="I256" s="120">
        <f t="shared" si="11"/>
        <v>1600</v>
      </c>
      <c r="J256" s="52" t="s">
        <v>106</v>
      </c>
      <c r="K256" s="52" t="s">
        <v>79</v>
      </c>
      <c r="L256" s="119" t="str">
        <f>IF($B256="","",IFERROR(INDEX(Productos!$C:$C,MATCH($B256,Productos!$A:$A,0)),""))</f>
        <v>Lácteos</v>
      </c>
    </row>
    <row r="257" spans="1:12" ht="15" customHeight="1" x14ac:dyDescent="0.3">
      <c r="A257" s="51">
        <v>46224</v>
      </c>
      <c r="B257" s="52" t="s">
        <v>132</v>
      </c>
      <c r="C257" s="119" t="str">
        <f>IF($B257="","",IFERROR(INDEX(Productos!$B:$B,MATCH($B257,Productos!$A:$A,0)),""))</f>
        <v>Queso campesino 500 g</v>
      </c>
      <c r="D257" s="53">
        <v>1</v>
      </c>
      <c r="E257" s="120">
        <f>IF($B257="","",IFERROR(INDEX(Productos!$F:$F,MATCH($B257,Productos!$A:$A,0)),0))</f>
        <v>13500</v>
      </c>
      <c r="F257" s="120">
        <f t="shared" si="9"/>
        <v>13500</v>
      </c>
      <c r="G257" s="120">
        <f>IF($B257="","",IFERROR(INDEX(Productos!$E:$E,MATCH($B257,Productos!$A:$A,0)),0))</f>
        <v>9800</v>
      </c>
      <c r="H257" s="120">
        <f t="shared" si="10"/>
        <v>9800</v>
      </c>
      <c r="I257" s="120">
        <f t="shared" si="11"/>
        <v>3700</v>
      </c>
      <c r="J257" s="52" t="s">
        <v>106</v>
      </c>
      <c r="K257" s="52" t="s">
        <v>80</v>
      </c>
      <c r="L257" s="119" t="str">
        <f>IF($B257="","",IFERROR(INDEX(Productos!$C:$C,MATCH($B257,Productos!$A:$A,0)),""))</f>
        <v>Lácteos</v>
      </c>
    </row>
    <row r="258" spans="1:12" ht="15" customHeight="1" x14ac:dyDescent="0.3">
      <c r="A258" s="51">
        <v>46224</v>
      </c>
      <c r="B258" s="52" t="s">
        <v>139</v>
      </c>
      <c r="C258" s="119" t="str">
        <f>IF($B258="","",IFERROR(INDEX(Productos!$B:$B,MATCH($B258,Productos!$A:$A,0)),""))</f>
        <v>Agua 600 ml</v>
      </c>
      <c r="D258" s="53">
        <v>1</v>
      </c>
      <c r="E258" s="120">
        <f>IF($B258="","",IFERROR(INDEX(Productos!$F:$F,MATCH($B258,Productos!$A:$A,0)),0))</f>
        <v>1800</v>
      </c>
      <c r="F258" s="120">
        <f t="shared" si="9"/>
        <v>1800</v>
      </c>
      <c r="G258" s="120">
        <f>IF($B258="","",IFERROR(INDEX(Productos!$E:$E,MATCH($B258,Productos!$A:$A,0)),0))</f>
        <v>1200</v>
      </c>
      <c r="H258" s="120">
        <f t="shared" si="10"/>
        <v>1200</v>
      </c>
      <c r="I258" s="120">
        <f t="shared" si="11"/>
        <v>600</v>
      </c>
      <c r="J258" s="52" t="s">
        <v>108</v>
      </c>
      <c r="K258" s="52" t="s">
        <v>78</v>
      </c>
      <c r="L258" s="119" t="str">
        <f>IF($B258="","",IFERROR(INDEX(Productos!$C:$C,MATCH($B258,Productos!$A:$A,0)),""))</f>
        <v>Bebidas</v>
      </c>
    </row>
    <row r="259" spans="1:12" ht="15" customHeight="1" x14ac:dyDescent="0.3">
      <c r="A259" s="51">
        <v>46224</v>
      </c>
      <c r="B259" s="52" t="s">
        <v>141</v>
      </c>
      <c r="C259" s="119" t="str">
        <f>IF($B259="","",IFERROR(INDEX(Productos!$B:$B,MATCH($B259,Productos!$A:$A,0)),""))</f>
        <v>Cerveza lata 330 ml</v>
      </c>
      <c r="D259" s="53">
        <v>2</v>
      </c>
      <c r="E259" s="120">
        <f>IF($B259="","",IFERROR(INDEX(Productos!$F:$F,MATCH($B259,Productos!$A:$A,0)),0))</f>
        <v>3800</v>
      </c>
      <c r="F259" s="120">
        <f t="shared" si="9"/>
        <v>7600</v>
      </c>
      <c r="G259" s="120">
        <f>IF($B259="","",IFERROR(INDEX(Productos!$E:$E,MATCH($B259,Productos!$A:$A,0)),0))</f>
        <v>2600</v>
      </c>
      <c r="H259" s="120">
        <f t="shared" si="10"/>
        <v>5200</v>
      </c>
      <c r="I259" s="120">
        <f t="shared" si="11"/>
        <v>2400</v>
      </c>
      <c r="J259" s="52" t="s">
        <v>108</v>
      </c>
      <c r="K259" s="52" t="s">
        <v>79</v>
      </c>
      <c r="L259" s="119" t="str">
        <f>IF($B259="","",IFERROR(INDEX(Productos!$C:$C,MATCH($B259,Productos!$A:$A,0)),""))</f>
        <v>Bebidas</v>
      </c>
    </row>
    <row r="260" spans="1:12" ht="15" customHeight="1" x14ac:dyDescent="0.3">
      <c r="A260" s="51">
        <v>46224</v>
      </c>
      <c r="B260" s="52" t="s">
        <v>146</v>
      </c>
      <c r="C260" s="119" t="str">
        <f>IF($B260="","",IFERROR(INDEX(Productos!$B:$B,MATCH($B260,Productos!$A:$A,0)),""))</f>
        <v>Galletas surtidas</v>
      </c>
      <c r="D260" s="53">
        <v>1</v>
      </c>
      <c r="E260" s="120">
        <f>IF($B260="","",IFERROR(INDEX(Productos!$F:$F,MATCH($B260,Productos!$A:$A,0)),0))</f>
        <v>2700</v>
      </c>
      <c r="F260" s="120">
        <f t="shared" si="9"/>
        <v>2700</v>
      </c>
      <c r="G260" s="120">
        <f>IF($B260="","",IFERROR(INDEX(Productos!$E:$E,MATCH($B260,Productos!$A:$A,0)),0))</f>
        <v>1800</v>
      </c>
      <c r="H260" s="120">
        <f t="shared" si="10"/>
        <v>1800</v>
      </c>
      <c r="I260" s="120">
        <f t="shared" si="11"/>
        <v>900</v>
      </c>
      <c r="J260" s="52" t="s">
        <v>106</v>
      </c>
      <c r="K260" s="52" t="s">
        <v>78</v>
      </c>
      <c r="L260" s="119" t="str">
        <f>IF($B260="","",IFERROR(INDEX(Productos!$C:$C,MATCH($B260,Productos!$A:$A,0)),""))</f>
        <v>Snacks</v>
      </c>
    </row>
    <row r="261" spans="1:12" ht="15" customHeight="1" x14ac:dyDescent="0.3">
      <c r="A261" s="51">
        <v>46224</v>
      </c>
      <c r="B261" s="52" t="s">
        <v>149</v>
      </c>
      <c r="C261" s="119" t="str">
        <f>IF($B261="","",IFERROR(INDEX(Productos!$B:$B,MATCH($B261,Productos!$A:$A,0)),""))</f>
        <v>Papas fritas 105 g</v>
      </c>
      <c r="D261" s="53">
        <v>1</v>
      </c>
      <c r="E261" s="120">
        <f>IF($B261="","",IFERROR(INDEX(Productos!$F:$F,MATCH($B261,Productos!$A:$A,0)),0))</f>
        <v>4800</v>
      </c>
      <c r="F261" s="120">
        <f t="shared" ref="F261:F324" si="12">IF($B261="","",N(D261)*E261)</f>
        <v>4800</v>
      </c>
      <c r="G261" s="120">
        <f>IF($B261="","",IFERROR(INDEX(Productos!$E:$E,MATCH($B261,Productos!$A:$A,0)),0))</f>
        <v>3200</v>
      </c>
      <c r="H261" s="120">
        <f t="shared" ref="H261:H324" si="13">IF($B261="","",N(D261)*G261)</f>
        <v>3200</v>
      </c>
      <c r="I261" s="120">
        <f t="shared" ref="I261:I324" si="14">IF($B261="","",F261-H261)</f>
        <v>1600</v>
      </c>
      <c r="J261" s="52" t="s">
        <v>102</v>
      </c>
      <c r="K261" s="52" t="s">
        <v>78</v>
      </c>
      <c r="L261" s="119" t="str">
        <f>IF($B261="","",IFERROR(INDEX(Productos!$C:$C,MATCH($B261,Productos!$A:$A,0)),""))</f>
        <v>Snacks</v>
      </c>
    </row>
    <row r="262" spans="1:12" ht="15" customHeight="1" x14ac:dyDescent="0.3">
      <c r="A262" s="51">
        <v>46224</v>
      </c>
      <c r="B262" s="52" t="s">
        <v>151</v>
      </c>
      <c r="C262" s="119" t="str">
        <f>IF($B262="","",IFERROR(INDEX(Productos!$B:$B,MATCH($B262,Productos!$A:$A,0)),""))</f>
        <v>Detergente 1 kg</v>
      </c>
      <c r="D262" s="53">
        <v>1</v>
      </c>
      <c r="E262" s="120">
        <f>IF($B262="","",IFERROR(INDEX(Productos!$F:$F,MATCH($B262,Productos!$A:$A,0)),0))</f>
        <v>9200</v>
      </c>
      <c r="F262" s="120">
        <f t="shared" si="12"/>
        <v>9200</v>
      </c>
      <c r="G262" s="120">
        <f>IF($B262="","",IFERROR(INDEX(Productos!$E:$E,MATCH($B262,Productos!$A:$A,0)),0))</f>
        <v>6800</v>
      </c>
      <c r="H262" s="120">
        <f t="shared" si="13"/>
        <v>6800</v>
      </c>
      <c r="I262" s="120">
        <f t="shared" si="14"/>
        <v>2400</v>
      </c>
      <c r="J262" s="52" t="s">
        <v>102</v>
      </c>
      <c r="K262" s="52" t="s">
        <v>81</v>
      </c>
      <c r="L262" s="119" t="str">
        <f>IF($B262="","",IFERROR(INDEX(Productos!$C:$C,MATCH($B262,Productos!$A:$A,0)),""))</f>
        <v>Aseo hogar</v>
      </c>
    </row>
    <row r="263" spans="1:12" ht="15" customHeight="1" x14ac:dyDescent="0.3">
      <c r="A263" s="51">
        <v>46224</v>
      </c>
      <c r="B263" s="52" t="s">
        <v>154</v>
      </c>
      <c r="C263" s="119" t="str">
        <f>IF($B263="","",IFERROR(INDEX(Productos!$B:$B,MATCH($B263,Productos!$A:$A,0)),""))</f>
        <v>Jabón de barra</v>
      </c>
      <c r="D263" s="53">
        <v>1</v>
      </c>
      <c r="E263" s="120">
        <f>IF($B263="","",IFERROR(INDEX(Productos!$F:$F,MATCH($B263,Productos!$A:$A,0)),0))</f>
        <v>2800</v>
      </c>
      <c r="F263" s="120">
        <f t="shared" si="12"/>
        <v>2800</v>
      </c>
      <c r="G263" s="120">
        <f>IF($B263="","",IFERROR(INDEX(Productos!$E:$E,MATCH($B263,Productos!$A:$A,0)),0))</f>
        <v>1900</v>
      </c>
      <c r="H263" s="120">
        <f t="shared" si="13"/>
        <v>1900</v>
      </c>
      <c r="I263" s="120">
        <f t="shared" si="14"/>
        <v>900</v>
      </c>
      <c r="J263" s="52" t="s">
        <v>108</v>
      </c>
      <c r="K263" s="52" t="s">
        <v>79</v>
      </c>
      <c r="L263" s="119" t="str">
        <f>IF($B263="","",IFERROR(INDEX(Productos!$C:$C,MATCH($B263,Productos!$A:$A,0)),""))</f>
        <v>Aseo personal</v>
      </c>
    </row>
    <row r="264" spans="1:12" ht="15" customHeight="1" x14ac:dyDescent="0.3">
      <c r="A264" s="51">
        <v>46224</v>
      </c>
      <c r="B264" s="52" t="s">
        <v>163</v>
      </c>
      <c r="C264" s="119" t="str">
        <f>IF($B264="","",IFERROR(INDEX(Productos!$B:$B,MATCH($B264,Productos!$A:$A,0)),""))</f>
        <v>Tomate kg</v>
      </c>
      <c r="D264" s="53">
        <v>2</v>
      </c>
      <c r="E264" s="120">
        <f>IF($B264="","",IFERROR(INDEX(Productos!$F:$F,MATCH($B264,Productos!$A:$A,0)),0))</f>
        <v>4200</v>
      </c>
      <c r="F264" s="120">
        <f t="shared" si="12"/>
        <v>8400</v>
      </c>
      <c r="G264" s="120">
        <f>IF($B264="","",IFERROR(INDEX(Productos!$E:$E,MATCH($B264,Productos!$A:$A,0)),0))</f>
        <v>2800</v>
      </c>
      <c r="H264" s="120">
        <f t="shared" si="13"/>
        <v>5600</v>
      </c>
      <c r="I264" s="120">
        <f t="shared" si="14"/>
        <v>2800</v>
      </c>
      <c r="J264" s="52" t="s">
        <v>104</v>
      </c>
      <c r="K264" s="52" t="s">
        <v>78</v>
      </c>
      <c r="L264" s="119" t="str">
        <f>IF($B264="","",IFERROR(INDEX(Productos!$C:$C,MATCH($B264,Productos!$A:$A,0)),""))</f>
        <v>Frutas y verduras</v>
      </c>
    </row>
    <row r="265" spans="1:12" ht="15" customHeight="1" x14ac:dyDescent="0.3">
      <c r="A265" s="51">
        <v>46224</v>
      </c>
      <c r="B265" s="52" t="s">
        <v>166</v>
      </c>
      <c r="C265" s="119" t="str">
        <f>IF($B265="","",IFERROR(INDEX(Productos!$B:$B,MATCH($B265,Productos!$A:$A,0)),""))</f>
        <v>Papa kg</v>
      </c>
      <c r="D265" s="53">
        <v>1</v>
      </c>
      <c r="E265" s="120">
        <f>IF($B265="","",IFERROR(INDEX(Productos!$F:$F,MATCH($B265,Productos!$A:$A,0)),0))</f>
        <v>2800</v>
      </c>
      <c r="F265" s="120">
        <f t="shared" si="12"/>
        <v>2800</v>
      </c>
      <c r="G265" s="120">
        <f>IF($B265="","",IFERROR(INDEX(Productos!$E:$E,MATCH($B265,Productos!$A:$A,0)),0))</f>
        <v>1900</v>
      </c>
      <c r="H265" s="120">
        <f t="shared" si="13"/>
        <v>1900</v>
      </c>
      <c r="I265" s="120">
        <f t="shared" si="14"/>
        <v>900</v>
      </c>
      <c r="J265" s="52" t="s">
        <v>104</v>
      </c>
      <c r="K265" s="52" t="s">
        <v>80</v>
      </c>
      <c r="L265" s="119" t="str">
        <f>IF($B265="","",IFERROR(INDEX(Productos!$C:$C,MATCH($B265,Productos!$A:$A,0)),""))</f>
        <v>Frutas y verduras</v>
      </c>
    </row>
    <row r="266" spans="1:12" ht="15" customHeight="1" x14ac:dyDescent="0.3">
      <c r="A266" s="51">
        <v>46225</v>
      </c>
      <c r="B266" s="52" t="s">
        <v>121</v>
      </c>
      <c r="C266" s="119" t="str">
        <f>IF($B266="","",IFERROR(INDEX(Productos!$B:$B,MATCH($B266,Productos!$A:$A,0)),""))</f>
        <v>Arroz x 500 g</v>
      </c>
      <c r="D266" s="53">
        <v>1</v>
      </c>
      <c r="E266" s="120">
        <f>IF($B266="","",IFERROR(INDEX(Productos!$F:$F,MATCH($B266,Productos!$A:$A,0)),0))</f>
        <v>2600</v>
      </c>
      <c r="F266" s="120">
        <f t="shared" si="12"/>
        <v>2600</v>
      </c>
      <c r="G266" s="120">
        <f>IF($B266="","",IFERROR(INDEX(Productos!$E:$E,MATCH($B266,Productos!$A:$A,0)),0))</f>
        <v>1850</v>
      </c>
      <c r="H266" s="120">
        <f t="shared" si="13"/>
        <v>1850</v>
      </c>
      <c r="I266" s="120">
        <f t="shared" si="14"/>
        <v>750</v>
      </c>
      <c r="J266" s="52" t="s">
        <v>104</v>
      </c>
      <c r="K266" s="52" t="s">
        <v>79</v>
      </c>
      <c r="L266" s="119" t="str">
        <f>IF($B266="","",IFERROR(INDEX(Productos!$C:$C,MATCH($B266,Productos!$A:$A,0)),""))</f>
        <v>Granos y abarrotes</v>
      </c>
    </row>
    <row r="267" spans="1:12" ht="15" customHeight="1" x14ac:dyDescent="0.3">
      <c r="A267" s="51">
        <v>46225</v>
      </c>
      <c r="B267" s="52" t="s">
        <v>129</v>
      </c>
      <c r="C267" s="119" t="str">
        <f>IF($B267="","",IFERROR(INDEX(Productos!$B:$B,MATCH($B267,Productos!$A:$A,0)),""))</f>
        <v>Leche entera 1 L</v>
      </c>
      <c r="D267" s="53">
        <v>1</v>
      </c>
      <c r="E267" s="120">
        <f>IF($B267="","",IFERROR(INDEX(Productos!$F:$F,MATCH($B267,Productos!$A:$A,0)),0))</f>
        <v>3900</v>
      </c>
      <c r="F267" s="120">
        <f t="shared" si="12"/>
        <v>3900</v>
      </c>
      <c r="G267" s="120">
        <f>IF($B267="","",IFERROR(INDEX(Productos!$E:$E,MATCH($B267,Productos!$A:$A,0)),0))</f>
        <v>3100</v>
      </c>
      <c r="H267" s="120">
        <f t="shared" si="13"/>
        <v>3100</v>
      </c>
      <c r="I267" s="120">
        <f t="shared" si="14"/>
        <v>800</v>
      </c>
      <c r="J267" s="52" t="s">
        <v>102</v>
      </c>
      <c r="K267" s="52" t="s">
        <v>78</v>
      </c>
      <c r="L267" s="119" t="str">
        <f>IF($B267="","",IFERROR(INDEX(Productos!$C:$C,MATCH($B267,Productos!$A:$A,0)),""))</f>
        <v>Lácteos</v>
      </c>
    </row>
    <row r="268" spans="1:12" ht="15" customHeight="1" x14ac:dyDescent="0.3">
      <c r="A268" s="51">
        <v>46225</v>
      </c>
      <c r="B268" s="52" t="s">
        <v>132</v>
      </c>
      <c r="C268" s="119" t="str">
        <f>IF($B268="","",IFERROR(INDEX(Productos!$B:$B,MATCH($B268,Productos!$A:$A,0)),""))</f>
        <v>Queso campesino 500 g</v>
      </c>
      <c r="D268" s="53">
        <v>1</v>
      </c>
      <c r="E268" s="120">
        <f>IF($B268="","",IFERROR(INDEX(Productos!$F:$F,MATCH($B268,Productos!$A:$A,0)),0))</f>
        <v>13500</v>
      </c>
      <c r="F268" s="120">
        <f t="shared" si="12"/>
        <v>13500</v>
      </c>
      <c r="G268" s="120">
        <f>IF($B268="","",IFERROR(INDEX(Productos!$E:$E,MATCH($B268,Productos!$A:$A,0)),0))</f>
        <v>9800</v>
      </c>
      <c r="H268" s="120">
        <f t="shared" si="13"/>
        <v>9800</v>
      </c>
      <c r="I268" s="120">
        <f t="shared" si="14"/>
        <v>3700</v>
      </c>
      <c r="J268" s="52" t="s">
        <v>104</v>
      </c>
      <c r="K268" s="52" t="s">
        <v>78</v>
      </c>
      <c r="L268" s="119" t="str">
        <f>IF($B268="","",IFERROR(INDEX(Productos!$C:$C,MATCH($B268,Productos!$A:$A,0)),""))</f>
        <v>Lácteos</v>
      </c>
    </row>
    <row r="269" spans="1:12" ht="15" customHeight="1" x14ac:dyDescent="0.3">
      <c r="A269" s="51">
        <v>46225</v>
      </c>
      <c r="B269" s="52" t="s">
        <v>139</v>
      </c>
      <c r="C269" s="119" t="str">
        <f>IF($B269="","",IFERROR(INDEX(Productos!$B:$B,MATCH($B269,Productos!$A:$A,0)),""))</f>
        <v>Agua 600 ml</v>
      </c>
      <c r="D269" s="53">
        <v>1</v>
      </c>
      <c r="E269" s="120">
        <f>IF($B269="","",IFERROR(INDEX(Productos!$F:$F,MATCH($B269,Productos!$A:$A,0)),0))</f>
        <v>1800</v>
      </c>
      <c r="F269" s="120">
        <f t="shared" si="12"/>
        <v>1800</v>
      </c>
      <c r="G269" s="120">
        <f>IF($B269="","",IFERROR(INDEX(Productos!$E:$E,MATCH($B269,Productos!$A:$A,0)),0))</f>
        <v>1200</v>
      </c>
      <c r="H269" s="120">
        <f t="shared" si="13"/>
        <v>1200</v>
      </c>
      <c r="I269" s="120">
        <f t="shared" si="14"/>
        <v>600</v>
      </c>
      <c r="J269" s="52" t="s">
        <v>102</v>
      </c>
      <c r="K269" s="52" t="s">
        <v>81</v>
      </c>
      <c r="L269" s="119" t="str">
        <f>IF($B269="","",IFERROR(INDEX(Productos!$C:$C,MATCH($B269,Productos!$A:$A,0)),""))</f>
        <v>Bebidas</v>
      </c>
    </row>
    <row r="270" spans="1:12" ht="15" customHeight="1" x14ac:dyDescent="0.3">
      <c r="A270" s="51">
        <v>46225</v>
      </c>
      <c r="B270" s="52" t="s">
        <v>143</v>
      </c>
      <c r="C270" s="119" t="str">
        <f>IF($B270="","",IFERROR(INDEX(Productos!$B:$B,MATCH($B270,Productos!$A:$A,0)),""))</f>
        <v>Pan tajado 500 g</v>
      </c>
      <c r="D270" s="53">
        <v>2</v>
      </c>
      <c r="E270" s="120">
        <f>IF($B270="","",IFERROR(INDEX(Productos!$F:$F,MATCH($B270,Productos!$A:$A,0)),0))</f>
        <v>5200</v>
      </c>
      <c r="F270" s="120">
        <f t="shared" si="12"/>
        <v>10400</v>
      </c>
      <c r="G270" s="120">
        <f>IF($B270="","",IFERROR(INDEX(Productos!$E:$E,MATCH($B270,Productos!$A:$A,0)),0))</f>
        <v>3900</v>
      </c>
      <c r="H270" s="120">
        <f t="shared" si="13"/>
        <v>7800</v>
      </c>
      <c r="I270" s="120">
        <f t="shared" si="14"/>
        <v>2600</v>
      </c>
      <c r="J270" s="52" t="s">
        <v>108</v>
      </c>
      <c r="K270" s="52" t="s">
        <v>79</v>
      </c>
      <c r="L270" s="119" t="str">
        <f>IF($B270="","",IFERROR(INDEX(Productos!$C:$C,MATCH($B270,Productos!$A:$A,0)),""))</f>
        <v>Panadería</v>
      </c>
    </row>
    <row r="271" spans="1:12" ht="15" customHeight="1" x14ac:dyDescent="0.3">
      <c r="A271" s="51">
        <v>46225</v>
      </c>
      <c r="B271" s="52" t="s">
        <v>146</v>
      </c>
      <c r="C271" s="119" t="str">
        <f>IF($B271="","",IFERROR(INDEX(Productos!$B:$B,MATCH($B271,Productos!$A:$A,0)),""))</f>
        <v>Galletas surtidas</v>
      </c>
      <c r="D271" s="53">
        <v>2</v>
      </c>
      <c r="E271" s="120">
        <f>IF($B271="","",IFERROR(INDEX(Productos!$F:$F,MATCH($B271,Productos!$A:$A,0)),0))</f>
        <v>2700</v>
      </c>
      <c r="F271" s="120">
        <f t="shared" si="12"/>
        <v>5400</v>
      </c>
      <c r="G271" s="120">
        <f>IF($B271="","",IFERROR(INDEX(Productos!$E:$E,MATCH($B271,Productos!$A:$A,0)),0))</f>
        <v>1800</v>
      </c>
      <c r="H271" s="120">
        <f t="shared" si="13"/>
        <v>3600</v>
      </c>
      <c r="I271" s="120">
        <f t="shared" si="14"/>
        <v>1800</v>
      </c>
      <c r="J271" s="52" t="s">
        <v>104</v>
      </c>
      <c r="K271" s="52" t="s">
        <v>78</v>
      </c>
      <c r="L271" s="119" t="str">
        <f>IF($B271="","",IFERROR(INDEX(Productos!$C:$C,MATCH($B271,Productos!$A:$A,0)),""))</f>
        <v>Snacks</v>
      </c>
    </row>
    <row r="272" spans="1:12" ht="15" customHeight="1" x14ac:dyDescent="0.3">
      <c r="A272" s="51">
        <v>46225</v>
      </c>
      <c r="B272" s="52" t="s">
        <v>149</v>
      </c>
      <c r="C272" s="119" t="str">
        <f>IF($B272="","",IFERROR(INDEX(Productos!$B:$B,MATCH($B272,Productos!$A:$A,0)),""))</f>
        <v>Papas fritas 105 g</v>
      </c>
      <c r="D272" s="53">
        <v>2</v>
      </c>
      <c r="E272" s="120">
        <f>IF($B272="","",IFERROR(INDEX(Productos!$F:$F,MATCH($B272,Productos!$A:$A,0)),0))</f>
        <v>4800</v>
      </c>
      <c r="F272" s="120">
        <f t="shared" si="12"/>
        <v>9600</v>
      </c>
      <c r="G272" s="120">
        <f>IF($B272="","",IFERROR(INDEX(Productos!$E:$E,MATCH($B272,Productos!$A:$A,0)),0))</f>
        <v>3200</v>
      </c>
      <c r="H272" s="120">
        <f t="shared" si="13"/>
        <v>6400</v>
      </c>
      <c r="I272" s="120">
        <f t="shared" si="14"/>
        <v>3200</v>
      </c>
      <c r="J272" s="52" t="s">
        <v>106</v>
      </c>
      <c r="K272" s="52" t="s">
        <v>78</v>
      </c>
      <c r="L272" s="119" t="str">
        <f>IF($B272="","",IFERROR(INDEX(Productos!$C:$C,MATCH($B272,Productos!$A:$A,0)),""))</f>
        <v>Snacks</v>
      </c>
    </row>
    <row r="273" spans="1:12" ht="15" customHeight="1" x14ac:dyDescent="0.3">
      <c r="A273" s="51">
        <v>46225</v>
      </c>
      <c r="B273" s="52" t="s">
        <v>163</v>
      </c>
      <c r="C273" s="119" t="str">
        <f>IF($B273="","",IFERROR(INDEX(Productos!$B:$B,MATCH($B273,Productos!$A:$A,0)),""))</f>
        <v>Tomate kg</v>
      </c>
      <c r="D273" s="53">
        <v>1</v>
      </c>
      <c r="E273" s="120">
        <f>IF($B273="","",IFERROR(INDEX(Productos!$F:$F,MATCH($B273,Productos!$A:$A,0)),0))</f>
        <v>4200</v>
      </c>
      <c r="F273" s="120">
        <f t="shared" si="12"/>
        <v>4200</v>
      </c>
      <c r="G273" s="120">
        <f>IF($B273="","",IFERROR(INDEX(Productos!$E:$E,MATCH($B273,Productos!$A:$A,0)),0))</f>
        <v>2800</v>
      </c>
      <c r="H273" s="120">
        <f t="shared" si="13"/>
        <v>2800</v>
      </c>
      <c r="I273" s="120">
        <f t="shared" si="14"/>
        <v>1400</v>
      </c>
      <c r="J273" s="52" t="s">
        <v>104</v>
      </c>
      <c r="K273" s="52" t="s">
        <v>79</v>
      </c>
      <c r="L273" s="119" t="str">
        <f>IF($B273="","",IFERROR(INDEX(Productos!$C:$C,MATCH($B273,Productos!$A:$A,0)),""))</f>
        <v>Frutas y verduras</v>
      </c>
    </row>
    <row r="274" spans="1:12" ht="15" customHeight="1" x14ac:dyDescent="0.3">
      <c r="A274" s="51">
        <v>46225</v>
      </c>
      <c r="B274" s="52" t="s">
        <v>166</v>
      </c>
      <c r="C274" s="119" t="str">
        <f>IF($B274="","",IFERROR(INDEX(Productos!$B:$B,MATCH($B274,Productos!$A:$A,0)),""))</f>
        <v>Papa kg</v>
      </c>
      <c r="D274" s="53">
        <v>1</v>
      </c>
      <c r="E274" s="120">
        <f>IF($B274="","",IFERROR(INDEX(Productos!$F:$F,MATCH($B274,Productos!$A:$A,0)),0))</f>
        <v>2800</v>
      </c>
      <c r="F274" s="120">
        <f t="shared" si="12"/>
        <v>2800</v>
      </c>
      <c r="G274" s="120">
        <f>IF($B274="","",IFERROR(INDEX(Productos!$E:$E,MATCH($B274,Productos!$A:$A,0)),0))</f>
        <v>1900</v>
      </c>
      <c r="H274" s="120">
        <f t="shared" si="13"/>
        <v>1900</v>
      </c>
      <c r="I274" s="120">
        <f t="shared" si="14"/>
        <v>900</v>
      </c>
      <c r="J274" s="52" t="s">
        <v>106</v>
      </c>
      <c r="K274" s="52" t="s">
        <v>80</v>
      </c>
      <c r="L274" s="119" t="str">
        <f>IF($B274="","",IFERROR(INDEX(Productos!$C:$C,MATCH($B274,Productos!$A:$A,0)),""))</f>
        <v>Frutas y verduras</v>
      </c>
    </row>
    <row r="275" spans="1:12" ht="15" customHeight="1" x14ac:dyDescent="0.3">
      <c r="A275" s="51">
        <v>46226</v>
      </c>
      <c r="B275" s="52" t="s">
        <v>124</v>
      </c>
      <c r="C275" s="119" t="str">
        <f>IF($B275="","",IFERROR(INDEX(Productos!$B:$B,MATCH($B275,Productos!$A:$A,0)),""))</f>
        <v>Aceite girasol 1 L</v>
      </c>
      <c r="D275" s="53">
        <v>3</v>
      </c>
      <c r="E275" s="120">
        <f>IF($B275="","",IFERROR(INDEX(Productos!$F:$F,MATCH($B275,Productos!$A:$A,0)),0))</f>
        <v>9500</v>
      </c>
      <c r="F275" s="120">
        <f t="shared" si="12"/>
        <v>28500</v>
      </c>
      <c r="G275" s="120">
        <f>IF($B275="","",IFERROR(INDEX(Productos!$E:$E,MATCH($B275,Productos!$A:$A,0)),0))</f>
        <v>7200</v>
      </c>
      <c r="H275" s="120">
        <f t="shared" si="13"/>
        <v>21600</v>
      </c>
      <c r="I275" s="120">
        <f t="shared" si="14"/>
        <v>6900</v>
      </c>
      <c r="J275" s="52" t="s">
        <v>104</v>
      </c>
      <c r="K275" s="52" t="s">
        <v>78</v>
      </c>
      <c r="L275" s="119" t="str">
        <f>IF($B275="","",IFERROR(INDEX(Productos!$C:$C,MATCH($B275,Productos!$A:$A,0)),""))</f>
        <v>Granos y abarrotes</v>
      </c>
    </row>
    <row r="276" spans="1:12" ht="15" customHeight="1" x14ac:dyDescent="0.3">
      <c r="A276" s="51">
        <v>46226</v>
      </c>
      <c r="B276" s="52" t="s">
        <v>126</v>
      </c>
      <c r="C276" s="119" t="str">
        <f>IF($B276="","",IFERROR(INDEX(Productos!$B:$B,MATCH($B276,Productos!$A:$A,0)),""))</f>
        <v>Panela x 500 g</v>
      </c>
      <c r="D276" s="53">
        <v>2</v>
      </c>
      <c r="E276" s="120">
        <f>IF($B276="","",IFERROR(INDEX(Productos!$F:$F,MATCH($B276,Productos!$A:$A,0)),0))</f>
        <v>2900</v>
      </c>
      <c r="F276" s="120">
        <f t="shared" si="12"/>
        <v>5800</v>
      </c>
      <c r="G276" s="120">
        <f>IF($B276="","",IFERROR(INDEX(Productos!$E:$E,MATCH($B276,Productos!$A:$A,0)),0))</f>
        <v>2100</v>
      </c>
      <c r="H276" s="120">
        <f t="shared" si="13"/>
        <v>4200</v>
      </c>
      <c r="I276" s="120">
        <f t="shared" si="14"/>
        <v>1600</v>
      </c>
      <c r="J276" s="52" t="s">
        <v>106</v>
      </c>
      <c r="K276" s="52" t="s">
        <v>79</v>
      </c>
      <c r="L276" s="119" t="str">
        <f>IF($B276="","",IFERROR(INDEX(Productos!$C:$C,MATCH($B276,Productos!$A:$A,0)),""))</f>
        <v>Granos y abarrotes</v>
      </c>
    </row>
    <row r="277" spans="1:12" ht="15" customHeight="1" x14ac:dyDescent="0.3">
      <c r="A277" s="51">
        <v>46226</v>
      </c>
      <c r="B277" s="52" t="s">
        <v>132</v>
      </c>
      <c r="C277" s="119" t="str">
        <f>IF($B277="","",IFERROR(INDEX(Productos!$B:$B,MATCH($B277,Productos!$A:$A,0)),""))</f>
        <v>Queso campesino 500 g</v>
      </c>
      <c r="D277" s="53">
        <v>1</v>
      </c>
      <c r="E277" s="120">
        <f>IF($B277="","",IFERROR(INDEX(Productos!$F:$F,MATCH($B277,Productos!$A:$A,0)),0))</f>
        <v>13500</v>
      </c>
      <c r="F277" s="120">
        <f t="shared" si="12"/>
        <v>13500</v>
      </c>
      <c r="G277" s="120">
        <f>IF($B277="","",IFERROR(INDEX(Productos!$E:$E,MATCH($B277,Productos!$A:$A,0)),0))</f>
        <v>9800</v>
      </c>
      <c r="H277" s="120">
        <f t="shared" si="13"/>
        <v>9800</v>
      </c>
      <c r="I277" s="120">
        <f t="shared" si="14"/>
        <v>3700</v>
      </c>
      <c r="J277" s="52" t="s">
        <v>106</v>
      </c>
      <c r="K277" s="52" t="s">
        <v>79</v>
      </c>
      <c r="L277" s="119" t="str">
        <f>IF($B277="","",IFERROR(INDEX(Productos!$C:$C,MATCH($B277,Productos!$A:$A,0)),""))</f>
        <v>Lácteos</v>
      </c>
    </row>
    <row r="278" spans="1:12" ht="15" customHeight="1" x14ac:dyDescent="0.3">
      <c r="A278" s="51">
        <v>46226</v>
      </c>
      <c r="B278" s="52" t="s">
        <v>134</v>
      </c>
      <c r="C278" s="119" t="str">
        <f>IF($B278="","",IFERROR(INDEX(Productos!$B:$B,MATCH($B278,Productos!$A:$A,0)),""))</f>
        <v>Yogur 1 L</v>
      </c>
      <c r="D278" s="53">
        <v>1</v>
      </c>
      <c r="E278" s="120">
        <f>IF($B278="","",IFERROR(INDEX(Productos!$F:$F,MATCH($B278,Productos!$A:$A,0)),0))</f>
        <v>7200</v>
      </c>
      <c r="F278" s="120">
        <f t="shared" si="12"/>
        <v>7200</v>
      </c>
      <c r="G278" s="120">
        <f>IF($B278="","",IFERROR(INDEX(Productos!$E:$E,MATCH($B278,Productos!$A:$A,0)),0))</f>
        <v>5400</v>
      </c>
      <c r="H278" s="120">
        <f t="shared" si="13"/>
        <v>5400</v>
      </c>
      <c r="I278" s="120">
        <f t="shared" si="14"/>
        <v>1800</v>
      </c>
      <c r="J278" s="52" t="s">
        <v>104</v>
      </c>
      <c r="K278" s="52" t="s">
        <v>79</v>
      </c>
      <c r="L278" s="119" t="str">
        <f>IF($B278="","",IFERROR(INDEX(Productos!$C:$C,MATCH($B278,Productos!$A:$A,0)),""))</f>
        <v>Lácteos</v>
      </c>
    </row>
    <row r="279" spans="1:12" ht="15" customHeight="1" x14ac:dyDescent="0.3">
      <c r="A279" s="51">
        <v>46226</v>
      </c>
      <c r="B279" s="52" t="s">
        <v>136</v>
      </c>
      <c r="C279" s="119" t="str">
        <f>IF($B279="","",IFERROR(INDEX(Productos!$B:$B,MATCH($B279,Productos!$A:$A,0)),""))</f>
        <v>Gaseosa 1,5 L</v>
      </c>
      <c r="D279" s="53">
        <v>1</v>
      </c>
      <c r="E279" s="120">
        <f>IF($B279="","",IFERROR(INDEX(Productos!$F:$F,MATCH($B279,Productos!$A:$A,0)),0))</f>
        <v>4500</v>
      </c>
      <c r="F279" s="120">
        <f t="shared" si="12"/>
        <v>4500</v>
      </c>
      <c r="G279" s="120">
        <f>IF($B279="","",IFERROR(INDEX(Productos!$E:$E,MATCH($B279,Productos!$A:$A,0)),0))</f>
        <v>3400</v>
      </c>
      <c r="H279" s="120">
        <f t="shared" si="13"/>
        <v>3400</v>
      </c>
      <c r="I279" s="120">
        <f t="shared" si="14"/>
        <v>1100</v>
      </c>
      <c r="J279" s="52" t="s">
        <v>102</v>
      </c>
      <c r="K279" s="52" t="s">
        <v>78</v>
      </c>
      <c r="L279" s="119" t="str">
        <f>IF($B279="","",IFERROR(INDEX(Productos!$C:$C,MATCH($B279,Productos!$A:$A,0)),""))</f>
        <v>Bebidas</v>
      </c>
    </row>
    <row r="280" spans="1:12" ht="15" customHeight="1" x14ac:dyDescent="0.3">
      <c r="A280" s="51">
        <v>46226</v>
      </c>
      <c r="B280" s="52" t="s">
        <v>139</v>
      </c>
      <c r="C280" s="119" t="str">
        <f>IF($B280="","",IFERROR(INDEX(Productos!$B:$B,MATCH($B280,Productos!$A:$A,0)),""))</f>
        <v>Agua 600 ml</v>
      </c>
      <c r="D280" s="53">
        <v>1</v>
      </c>
      <c r="E280" s="120">
        <f>IF($B280="","",IFERROR(INDEX(Productos!$F:$F,MATCH($B280,Productos!$A:$A,0)),0))</f>
        <v>1800</v>
      </c>
      <c r="F280" s="120">
        <f t="shared" si="12"/>
        <v>1800</v>
      </c>
      <c r="G280" s="120">
        <f>IF($B280="","",IFERROR(INDEX(Productos!$E:$E,MATCH($B280,Productos!$A:$A,0)),0))</f>
        <v>1200</v>
      </c>
      <c r="H280" s="120">
        <f t="shared" si="13"/>
        <v>1200</v>
      </c>
      <c r="I280" s="120">
        <f t="shared" si="14"/>
        <v>600</v>
      </c>
      <c r="J280" s="52" t="s">
        <v>104</v>
      </c>
      <c r="K280" s="52" t="s">
        <v>78</v>
      </c>
      <c r="L280" s="119" t="str">
        <f>IF($B280="","",IFERROR(INDEX(Productos!$C:$C,MATCH($B280,Productos!$A:$A,0)),""))</f>
        <v>Bebidas</v>
      </c>
    </row>
    <row r="281" spans="1:12" ht="15" customHeight="1" x14ac:dyDescent="0.3">
      <c r="A281" s="51">
        <v>46226</v>
      </c>
      <c r="B281" s="52" t="s">
        <v>141</v>
      </c>
      <c r="C281" s="119" t="str">
        <f>IF($B281="","",IFERROR(INDEX(Productos!$B:$B,MATCH($B281,Productos!$A:$A,0)),""))</f>
        <v>Cerveza lata 330 ml</v>
      </c>
      <c r="D281" s="53">
        <v>3</v>
      </c>
      <c r="E281" s="120">
        <f>IF($B281="","",IFERROR(INDEX(Productos!$F:$F,MATCH($B281,Productos!$A:$A,0)),0))</f>
        <v>3800</v>
      </c>
      <c r="F281" s="120">
        <f t="shared" si="12"/>
        <v>11400</v>
      </c>
      <c r="G281" s="120">
        <f>IF($B281="","",IFERROR(INDEX(Productos!$E:$E,MATCH($B281,Productos!$A:$A,0)),0))</f>
        <v>2600</v>
      </c>
      <c r="H281" s="120">
        <f t="shared" si="13"/>
        <v>7800</v>
      </c>
      <c r="I281" s="120">
        <f t="shared" si="14"/>
        <v>3600</v>
      </c>
      <c r="J281" s="52" t="s">
        <v>106</v>
      </c>
      <c r="K281" s="52" t="s">
        <v>78</v>
      </c>
      <c r="L281" s="119" t="str">
        <f>IF($B281="","",IFERROR(INDEX(Productos!$C:$C,MATCH($B281,Productos!$A:$A,0)),""))</f>
        <v>Bebidas</v>
      </c>
    </row>
    <row r="282" spans="1:12" ht="15" customHeight="1" x14ac:dyDescent="0.3">
      <c r="A282" s="51">
        <v>46226</v>
      </c>
      <c r="B282" s="52" t="s">
        <v>143</v>
      </c>
      <c r="C282" s="119" t="str">
        <f>IF($B282="","",IFERROR(INDEX(Productos!$B:$B,MATCH($B282,Productos!$A:$A,0)),""))</f>
        <v>Pan tajado 500 g</v>
      </c>
      <c r="D282" s="53">
        <v>1</v>
      </c>
      <c r="E282" s="120">
        <f>IF($B282="","",IFERROR(INDEX(Productos!$F:$F,MATCH($B282,Productos!$A:$A,0)),0))</f>
        <v>5200</v>
      </c>
      <c r="F282" s="120">
        <f t="shared" si="12"/>
        <v>5200</v>
      </c>
      <c r="G282" s="120">
        <f>IF($B282="","",IFERROR(INDEX(Productos!$E:$E,MATCH($B282,Productos!$A:$A,0)),0))</f>
        <v>3900</v>
      </c>
      <c r="H282" s="120">
        <f t="shared" si="13"/>
        <v>3900</v>
      </c>
      <c r="I282" s="120">
        <f t="shared" si="14"/>
        <v>1300</v>
      </c>
      <c r="J282" s="52" t="s">
        <v>106</v>
      </c>
      <c r="K282" s="52" t="s">
        <v>79</v>
      </c>
      <c r="L282" s="119" t="str">
        <f>IF($B282="","",IFERROR(INDEX(Productos!$C:$C,MATCH($B282,Productos!$A:$A,0)),""))</f>
        <v>Panadería</v>
      </c>
    </row>
    <row r="283" spans="1:12" ht="15" customHeight="1" x14ac:dyDescent="0.3">
      <c r="A283" s="51">
        <v>46226</v>
      </c>
      <c r="B283" s="52" t="s">
        <v>146</v>
      </c>
      <c r="C283" s="119" t="str">
        <f>IF($B283="","",IFERROR(INDEX(Productos!$B:$B,MATCH($B283,Productos!$A:$A,0)),""))</f>
        <v>Galletas surtidas</v>
      </c>
      <c r="D283" s="53">
        <v>3</v>
      </c>
      <c r="E283" s="120">
        <f>IF($B283="","",IFERROR(INDEX(Productos!$F:$F,MATCH($B283,Productos!$A:$A,0)),0))</f>
        <v>2700</v>
      </c>
      <c r="F283" s="120">
        <f t="shared" si="12"/>
        <v>8100</v>
      </c>
      <c r="G283" s="120">
        <f>IF($B283="","",IFERROR(INDEX(Productos!$E:$E,MATCH($B283,Productos!$A:$A,0)),0))</f>
        <v>1800</v>
      </c>
      <c r="H283" s="120">
        <f t="shared" si="13"/>
        <v>5400</v>
      </c>
      <c r="I283" s="120">
        <f t="shared" si="14"/>
        <v>2700</v>
      </c>
      <c r="J283" s="52" t="s">
        <v>104</v>
      </c>
      <c r="K283" s="52" t="s">
        <v>80</v>
      </c>
      <c r="L283" s="119" t="str">
        <f>IF($B283="","",IFERROR(INDEX(Productos!$C:$C,MATCH($B283,Productos!$A:$A,0)),""))</f>
        <v>Snacks</v>
      </c>
    </row>
    <row r="284" spans="1:12" ht="15" customHeight="1" x14ac:dyDescent="0.3">
      <c r="A284" s="51">
        <v>46226</v>
      </c>
      <c r="B284" s="52" t="s">
        <v>151</v>
      </c>
      <c r="C284" s="119" t="str">
        <f>IF($B284="","",IFERROR(INDEX(Productos!$B:$B,MATCH($B284,Productos!$A:$A,0)),""))</f>
        <v>Detergente 1 kg</v>
      </c>
      <c r="D284" s="53">
        <v>2</v>
      </c>
      <c r="E284" s="120">
        <f>IF($B284="","",IFERROR(INDEX(Productos!$F:$F,MATCH($B284,Productos!$A:$A,0)),0))</f>
        <v>9200</v>
      </c>
      <c r="F284" s="120">
        <f t="shared" si="12"/>
        <v>18400</v>
      </c>
      <c r="G284" s="120">
        <f>IF($B284="","",IFERROR(INDEX(Productos!$E:$E,MATCH($B284,Productos!$A:$A,0)),0))</f>
        <v>6800</v>
      </c>
      <c r="H284" s="120">
        <f t="shared" si="13"/>
        <v>13600</v>
      </c>
      <c r="I284" s="120">
        <f t="shared" si="14"/>
        <v>4800</v>
      </c>
      <c r="J284" s="52" t="s">
        <v>104</v>
      </c>
      <c r="K284" s="52" t="s">
        <v>81</v>
      </c>
      <c r="L284" s="119" t="str">
        <f>IF($B284="","",IFERROR(INDEX(Productos!$C:$C,MATCH($B284,Productos!$A:$A,0)),""))</f>
        <v>Aseo hogar</v>
      </c>
    </row>
    <row r="285" spans="1:12" ht="15" customHeight="1" x14ac:dyDescent="0.3">
      <c r="A285" s="51">
        <v>46226</v>
      </c>
      <c r="B285" s="52" t="s">
        <v>154</v>
      </c>
      <c r="C285" s="119" t="str">
        <f>IF($B285="","",IFERROR(INDEX(Productos!$B:$B,MATCH($B285,Productos!$A:$A,0)),""))</f>
        <v>Jabón de barra</v>
      </c>
      <c r="D285" s="53">
        <v>1</v>
      </c>
      <c r="E285" s="120">
        <f>IF($B285="","",IFERROR(INDEX(Productos!$F:$F,MATCH($B285,Productos!$A:$A,0)),0))</f>
        <v>2800</v>
      </c>
      <c r="F285" s="120">
        <f t="shared" si="12"/>
        <v>2800</v>
      </c>
      <c r="G285" s="120">
        <f>IF($B285="","",IFERROR(INDEX(Productos!$E:$E,MATCH($B285,Productos!$A:$A,0)),0))</f>
        <v>1900</v>
      </c>
      <c r="H285" s="120">
        <f t="shared" si="13"/>
        <v>1900</v>
      </c>
      <c r="I285" s="120">
        <f t="shared" si="14"/>
        <v>900</v>
      </c>
      <c r="J285" s="52" t="s">
        <v>106</v>
      </c>
      <c r="K285" s="52" t="s">
        <v>81</v>
      </c>
      <c r="L285" s="119" t="str">
        <f>IF($B285="","",IFERROR(INDEX(Productos!$C:$C,MATCH($B285,Productos!$A:$A,0)),""))</f>
        <v>Aseo personal</v>
      </c>
    </row>
    <row r="286" spans="1:12" ht="15" customHeight="1" x14ac:dyDescent="0.3">
      <c r="A286" s="51">
        <v>46226</v>
      </c>
      <c r="B286" s="52" t="s">
        <v>156</v>
      </c>
      <c r="C286" s="119" t="str">
        <f>IF($B286="","",IFERROR(INDEX(Productos!$B:$B,MATCH($B286,Productos!$A:$A,0)),""))</f>
        <v>Papel higiénico x 4</v>
      </c>
      <c r="D286" s="53">
        <v>1</v>
      </c>
      <c r="E286" s="120">
        <f>IF($B286="","",IFERROR(INDEX(Productos!$F:$F,MATCH($B286,Productos!$A:$A,0)),0))</f>
        <v>7800</v>
      </c>
      <c r="F286" s="120">
        <f t="shared" si="12"/>
        <v>7800</v>
      </c>
      <c r="G286" s="120">
        <f>IF($B286="","",IFERROR(INDEX(Productos!$E:$E,MATCH($B286,Productos!$A:$A,0)),0))</f>
        <v>5600</v>
      </c>
      <c r="H286" s="120">
        <f t="shared" si="13"/>
        <v>5600</v>
      </c>
      <c r="I286" s="120">
        <f t="shared" si="14"/>
        <v>2200</v>
      </c>
      <c r="J286" s="52" t="s">
        <v>108</v>
      </c>
      <c r="K286" s="52" t="s">
        <v>78</v>
      </c>
      <c r="L286" s="119" t="str">
        <f>IF($B286="","",IFERROR(INDEX(Productos!$C:$C,MATCH($B286,Productos!$A:$A,0)),""))</f>
        <v>Aseo hogar</v>
      </c>
    </row>
    <row r="287" spans="1:12" ht="15" customHeight="1" x14ac:dyDescent="0.3">
      <c r="A287" s="51">
        <v>46226</v>
      </c>
      <c r="B287" s="52" t="s">
        <v>158</v>
      </c>
      <c r="C287" s="119" t="str">
        <f>IF($B287="","",IFERROR(INDEX(Productos!$B:$B,MATCH($B287,Productos!$A:$A,0)),""))</f>
        <v>Huevos AA x 12</v>
      </c>
      <c r="D287" s="53">
        <v>2</v>
      </c>
      <c r="E287" s="120">
        <f>IF($B287="","",IFERROR(INDEX(Productos!$F:$F,MATCH($B287,Productos!$A:$A,0)),0))</f>
        <v>12000</v>
      </c>
      <c r="F287" s="120">
        <f t="shared" si="12"/>
        <v>24000</v>
      </c>
      <c r="G287" s="120">
        <f>IF($B287="","",IFERROR(INDEX(Productos!$E:$E,MATCH($B287,Productos!$A:$A,0)),0))</f>
        <v>9200</v>
      </c>
      <c r="H287" s="120">
        <f t="shared" si="13"/>
        <v>18400</v>
      </c>
      <c r="I287" s="120">
        <f t="shared" si="14"/>
        <v>5600</v>
      </c>
      <c r="J287" s="52" t="s">
        <v>106</v>
      </c>
      <c r="K287" s="52" t="s">
        <v>79</v>
      </c>
      <c r="L287" s="119" t="str">
        <f>IF($B287="","",IFERROR(INDEX(Productos!$C:$C,MATCH($B287,Productos!$A:$A,0)),""))</f>
        <v>Perecederos</v>
      </c>
    </row>
    <row r="288" spans="1:12" ht="15" customHeight="1" x14ac:dyDescent="0.3">
      <c r="A288" s="51">
        <v>46226</v>
      </c>
      <c r="B288" s="52" t="s">
        <v>166</v>
      </c>
      <c r="C288" s="119" t="str">
        <f>IF($B288="","",IFERROR(INDEX(Productos!$B:$B,MATCH($B288,Productos!$A:$A,0)),""))</f>
        <v>Papa kg</v>
      </c>
      <c r="D288" s="53">
        <v>2</v>
      </c>
      <c r="E288" s="120">
        <f>IF($B288="","",IFERROR(INDEX(Productos!$F:$F,MATCH($B288,Productos!$A:$A,0)),0))</f>
        <v>2800</v>
      </c>
      <c r="F288" s="120">
        <f t="shared" si="12"/>
        <v>5600</v>
      </c>
      <c r="G288" s="120">
        <f>IF($B288="","",IFERROR(INDEX(Productos!$E:$E,MATCH($B288,Productos!$A:$A,0)),0))</f>
        <v>1900</v>
      </c>
      <c r="H288" s="120">
        <f t="shared" si="13"/>
        <v>3800</v>
      </c>
      <c r="I288" s="120">
        <f t="shared" si="14"/>
        <v>1800</v>
      </c>
      <c r="J288" s="52" t="s">
        <v>108</v>
      </c>
      <c r="K288" s="52" t="s">
        <v>80</v>
      </c>
      <c r="L288" s="119" t="str">
        <f>IF($B288="","",IFERROR(INDEX(Productos!$C:$C,MATCH($B288,Productos!$A:$A,0)),""))</f>
        <v>Frutas y verduras</v>
      </c>
    </row>
    <row r="289" spans="1:12" ht="15" customHeight="1" x14ac:dyDescent="0.3">
      <c r="A289" s="51">
        <v>46226</v>
      </c>
      <c r="B289" s="52" t="s">
        <v>168</v>
      </c>
      <c r="C289" s="119" t="str">
        <f>IF($B289="","",IFERROR(INDEX(Productos!$B:$B,MATCH($B289,Productos!$A:$A,0)),""))</f>
        <v>Banano kg</v>
      </c>
      <c r="D289" s="53">
        <v>1</v>
      </c>
      <c r="E289" s="120">
        <f>IF($B289="","",IFERROR(INDEX(Productos!$F:$F,MATCH($B289,Productos!$A:$A,0)),0))</f>
        <v>3400</v>
      </c>
      <c r="F289" s="120">
        <f t="shared" si="12"/>
        <v>3400</v>
      </c>
      <c r="G289" s="120">
        <f>IF($B289="","",IFERROR(INDEX(Productos!$E:$E,MATCH($B289,Productos!$A:$A,0)),0))</f>
        <v>2200</v>
      </c>
      <c r="H289" s="120">
        <f t="shared" si="13"/>
        <v>2200</v>
      </c>
      <c r="I289" s="120">
        <f t="shared" si="14"/>
        <v>1200</v>
      </c>
      <c r="J289" s="52" t="s">
        <v>106</v>
      </c>
      <c r="K289" s="52" t="s">
        <v>79</v>
      </c>
      <c r="L289" s="119" t="str">
        <f>IF($B289="","",IFERROR(INDEX(Productos!$C:$C,MATCH($B289,Productos!$A:$A,0)),""))</f>
        <v>Frutas y verduras</v>
      </c>
    </row>
    <row r="290" spans="1:12" ht="15" customHeight="1" x14ac:dyDescent="0.3">
      <c r="A290" s="51">
        <v>46227</v>
      </c>
      <c r="B290" s="52" t="s">
        <v>121</v>
      </c>
      <c r="C290" s="119" t="str">
        <f>IF($B290="","",IFERROR(INDEX(Productos!$B:$B,MATCH($B290,Productos!$A:$A,0)),""))</f>
        <v>Arroz x 500 g</v>
      </c>
      <c r="D290" s="53">
        <v>3</v>
      </c>
      <c r="E290" s="120">
        <f>IF($B290="","",IFERROR(INDEX(Productos!$F:$F,MATCH($B290,Productos!$A:$A,0)),0))</f>
        <v>2600</v>
      </c>
      <c r="F290" s="120">
        <f t="shared" si="12"/>
        <v>7800</v>
      </c>
      <c r="G290" s="120">
        <f>IF($B290="","",IFERROR(INDEX(Productos!$E:$E,MATCH($B290,Productos!$A:$A,0)),0))</f>
        <v>1850</v>
      </c>
      <c r="H290" s="120">
        <f t="shared" si="13"/>
        <v>5550</v>
      </c>
      <c r="I290" s="120">
        <f t="shared" si="14"/>
        <v>2250</v>
      </c>
      <c r="J290" s="52" t="s">
        <v>102</v>
      </c>
      <c r="K290" s="52" t="s">
        <v>78</v>
      </c>
      <c r="L290" s="119" t="str">
        <f>IF($B290="","",IFERROR(INDEX(Productos!$C:$C,MATCH($B290,Productos!$A:$A,0)),""))</f>
        <v>Granos y abarrotes</v>
      </c>
    </row>
    <row r="291" spans="1:12" ht="15" customHeight="1" x14ac:dyDescent="0.3">
      <c r="A291" s="51">
        <v>46227</v>
      </c>
      <c r="B291" s="52" t="s">
        <v>124</v>
      </c>
      <c r="C291" s="119" t="str">
        <f>IF($B291="","",IFERROR(INDEX(Productos!$B:$B,MATCH($B291,Productos!$A:$A,0)),""))</f>
        <v>Aceite girasol 1 L</v>
      </c>
      <c r="D291" s="53">
        <v>2</v>
      </c>
      <c r="E291" s="120">
        <f>IF($B291="","",IFERROR(INDEX(Productos!$F:$F,MATCH($B291,Productos!$A:$A,0)),0))</f>
        <v>9500</v>
      </c>
      <c r="F291" s="120">
        <f t="shared" si="12"/>
        <v>19000</v>
      </c>
      <c r="G291" s="120">
        <f>IF($B291="","",IFERROR(INDEX(Productos!$E:$E,MATCH($B291,Productos!$A:$A,0)),0))</f>
        <v>7200</v>
      </c>
      <c r="H291" s="120">
        <f t="shared" si="13"/>
        <v>14400</v>
      </c>
      <c r="I291" s="120">
        <f t="shared" si="14"/>
        <v>4600</v>
      </c>
      <c r="J291" s="52" t="s">
        <v>104</v>
      </c>
      <c r="K291" s="52" t="s">
        <v>78</v>
      </c>
      <c r="L291" s="119" t="str">
        <f>IF($B291="","",IFERROR(INDEX(Productos!$C:$C,MATCH($B291,Productos!$A:$A,0)),""))</f>
        <v>Granos y abarrotes</v>
      </c>
    </row>
    <row r="292" spans="1:12" ht="15" customHeight="1" x14ac:dyDescent="0.3">
      <c r="A292" s="51">
        <v>46227</v>
      </c>
      <c r="B292" s="52" t="s">
        <v>129</v>
      </c>
      <c r="C292" s="119" t="str">
        <f>IF($B292="","",IFERROR(INDEX(Productos!$B:$B,MATCH($B292,Productos!$A:$A,0)),""))</f>
        <v>Leche entera 1 L</v>
      </c>
      <c r="D292" s="53">
        <v>1</v>
      </c>
      <c r="E292" s="120">
        <f>IF($B292="","",IFERROR(INDEX(Productos!$F:$F,MATCH($B292,Productos!$A:$A,0)),0))</f>
        <v>3900</v>
      </c>
      <c r="F292" s="120">
        <f t="shared" si="12"/>
        <v>3900</v>
      </c>
      <c r="G292" s="120">
        <f>IF($B292="","",IFERROR(INDEX(Productos!$E:$E,MATCH($B292,Productos!$A:$A,0)),0))</f>
        <v>3100</v>
      </c>
      <c r="H292" s="120">
        <f t="shared" si="13"/>
        <v>3100</v>
      </c>
      <c r="I292" s="120">
        <f t="shared" si="14"/>
        <v>800</v>
      </c>
      <c r="J292" s="52" t="s">
        <v>104</v>
      </c>
      <c r="K292" s="52" t="s">
        <v>79</v>
      </c>
      <c r="L292" s="119" t="str">
        <f>IF($B292="","",IFERROR(INDEX(Productos!$C:$C,MATCH($B292,Productos!$A:$A,0)),""))</f>
        <v>Lácteos</v>
      </c>
    </row>
    <row r="293" spans="1:12" ht="15" customHeight="1" x14ac:dyDescent="0.3">
      <c r="A293" s="51">
        <v>46227</v>
      </c>
      <c r="B293" s="52" t="s">
        <v>139</v>
      </c>
      <c r="C293" s="119" t="str">
        <f>IF($B293="","",IFERROR(INDEX(Productos!$B:$B,MATCH($B293,Productos!$A:$A,0)),""))</f>
        <v>Agua 600 ml</v>
      </c>
      <c r="D293" s="53">
        <v>1</v>
      </c>
      <c r="E293" s="120">
        <f>IF($B293="","",IFERROR(INDEX(Productos!$F:$F,MATCH($B293,Productos!$A:$A,0)),0))</f>
        <v>1800</v>
      </c>
      <c r="F293" s="120">
        <f t="shared" si="12"/>
        <v>1800</v>
      </c>
      <c r="G293" s="120">
        <f>IF($B293="","",IFERROR(INDEX(Productos!$E:$E,MATCH($B293,Productos!$A:$A,0)),0))</f>
        <v>1200</v>
      </c>
      <c r="H293" s="120">
        <f t="shared" si="13"/>
        <v>1200</v>
      </c>
      <c r="I293" s="120">
        <f t="shared" si="14"/>
        <v>600</v>
      </c>
      <c r="J293" s="52" t="s">
        <v>102</v>
      </c>
      <c r="K293" s="52" t="s">
        <v>79</v>
      </c>
      <c r="L293" s="119" t="str">
        <f>IF($B293="","",IFERROR(INDEX(Productos!$C:$C,MATCH($B293,Productos!$A:$A,0)),""))</f>
        <v>Bebidas</v>
      </c>
    </row>
    <row r="294" spans="1:12" ht="15" customHeight="1" x14ac:dyDescent="0.3">
      <c r="A294" s="51">
        <v>46227</v>
      </c>
      <c r="B294" s="52" t="s">
        <v>141</v>
      </c>
      <c r="C294" s="119" t="str">
        <f>IF($B294="","",IFERROR(INDEX(Productos!$B:$B,MATCH($B294,Productos!$A:$A,0)),""))</f>
        <v>Cerveza lata 330 ml</v>
      </c>
      <c r="D294" s="53">
        <v>2</v>
      </c>
      <c r="E294" s="120">
        <f>IF($B294="","",IFERROR(INDEX(Productos!$F:$F,MATCH($B294,Productos!$A:$A,0)),0))</f>
        <v>3800</v>
      </c>
      <c r="F294" s="120">
        <f t="shared" si="12"/>
        <v>7600</v>
      </c>
      <c r="G294" s="120">
        <f>IF($B294="","",IFERROR(INDEX(Productos!$E:$E,MATCH($B294,Productos!$A:$A,0)),0))</f>
        <v>2600</v>
      </c>
      <c r="H294" s="120">
        <f t="shared" si="13"/>
        <v>5200</v>
      </c>
      <c r="I294" s="120">
        <f t="shared" si="14"/>
        <v>2400</v>
      </c>
      <c r="J294" s="52" t="s">
        <v>106</v>
      </c>
      <c r="K294" s="52" t="s">
        <v>78</v>
      </c>
      <c r="L294" s="119" t="str">
        <f>IF($B294="","",IFERROR(INDEX(Productos!$C:$C,MATCH($B294,Productos!$A:$A,0)),""))</f>
        <v>Bebidas</v>
      </c>
    </row>
    <row r="295" spans="1:12" ht="15" customHeight="1" x14ac:dyDescent="0.3">
      <c r="A295" s="51">
        <v>46227</v>
      </c>
      <c r="B295" s="52" t="s">
        <v>143</v>
      </c>
      <c r="C295" s="119" t="str">
        <f>IF($B295="","",IFERROR(INDEX(Productos!$B:$B,MATCH($B295,Productos!$A:$A,0)),""))</f>
        <v>Pan tajado 500 g</v>
      </c>
      <c r="D295" s="53">
        <v>2</v>
      </c>
      <c r="E295" s="120">
        <f>IF($B295="","",IFERROR(INDEX(Productos!$F:$F,MATCH($B295,Productos!$A:$A,0)),0))</f>
        <v>5200</v>
      </c>
      <c r="F295" s="120">
        <f t="shared" si="12"/>
        <v>10400</v>
      </c>
      <c r="G295" s="120">
        <f>IF($B295="","",IFERROR(INDEX(Productos!$E:$E,MATCH($B295,Productos!$A:$A,0)),0))</f>
        <v>3900</v>
      </c>
      <c r="H295" s="120">
        <f t="shared" si="13"/>
        <v>7800</v>
      </c>
      <c r="I295" s="120">
        <f t="shared" si="14"/>
        <v>2600</v>
      </c>
      <c r="J295" s="52" t="s">
        <v>102</v>
      </c>
      <c r="K295" s="52" t="s">
        <v>78</v>
      </c>
      <c r="L295" s="119" t="str">
        <f>IF($B295="","",IFERROR(INDEX(Productos!$C:$C,MATCH($B295,Productos!$A:$A,0)),""))</f>
        <v>Panadería</v>
      </c>
    </row>
    <row r="296" spans="1:12" ht="15" customHeight="1" x14ac:dyDescent="0.3">
      <c r="A296" s="51">
        <v>46227</v>
      </c>
      <c r="B296" s="52" t="s">
        <v>146</v>
      </c>
      <c r="C296" s="119" t="str">
        <f>IF($B296="","",IFERROR(INDEX(Productos!$B:$B,MATCH($B296,Productos!$A:$A,0)),""))</f>
        <v>Galletas surtidas</v>
      </c>
      <c r="D296" s="53">
        <v>2</v>
      </c>
      <c r="E296" s="120">
        <f>IF($B296="","",IFERROR(INDEX(Productos!$F:$F,MATCH($B296,Productos!$A:$A,0)),0))</f>
        <v>2700</v>
      </c>
      <c r="F296" s="120">
        <f t="shared" si="12"/>
        <v>5400</v>
      </c>
      <c r="G296" s="120">
        <f>IF($B296="","",IFERROR(INDEX(Productos!$E:$E,MATCH($B296,Productos!$A:$A,0)),0))</f>
        <v>1800</v>
      </c>
      <c r="H296" s="120">
        <f t="shared" si="13"/>
        <v>3600</v>
      </c>
      <c r="I296" s="120">
        <f t="shared" si="14"/>
        <v>1800</v>
      </c>
      <c r="J296" s="52" t="s">
        <v>108</v>
      </c>
      <c r="K296" s="52" t="s">
        <v>78</v>
      </c>
      <c r="L296" s="119" t="str">
        <f>IF($B296="","",IFERROR(INDEX(Productos!$C:$C,MATCH($B296,Productos!$A:$A,0)),""))</f>
        <v>Snacks</v>
      </c>
    </row>
    <row r="297" spans="1:12" ht="15" customHeight="1" x14ac:dyDescent="0.3">
      <c r="A297" s="51">
        <v>46227</v>
      </c>
      <c r="B297" s="52" t="s">
        <v>149</v>
      </c>
      <c r="C297" s="119" t="str">
        <f>IF($B297="","",IFERROR(INDEX(Productos!$B:$B,MATCH($B297,Productos!$A:$A,0)),""))</f>
        <v>Papas fritas 105 g</v>
      </c>
      <c r="D297" s="53">
        <v>1</v>
      </c>
      <c r="E297" s="120">
        <f>IF($B297="","",IFERROR(INDEX(Productos!$F:$F,MATCH($B297,Productos!$A:$A,0)),0))</f>
        <v>4800</v>
      </c>
      <c r="F297" s="120">
        <f t="shared" si="12"/>
        <v>4800</v>
      </c>
      <c r="G297" s="120">
        <f>IF($B297="","",IFERROR(INDEX(Productos!$E:$E,MATCH($B297,Productos!$A:$A,0)),0))</f>
        <v>3200</v>
      </c>
      <c r="H297" s="120">
        <f t="shared" si="13"/>
        <v>3200</v>
      </c>
      <c r="I297" s="120">
        <f t="shared" si="14"/>
        <v>1600</v>
      </c>
      <c r="J297" s="52" t="s">
        <v>102</v>
      </c>
      <c r="K297" s="52" t="s">
        <v>81</v>
      </c>
      <c r="L297" s="119" t="str">
        <f>IF($B297="","",IFERROR(INDEX(Productos!$C:$C,MATCH($B297,Productos!$A:$A,0)),""))</f>
        <v>Snacks</v>
      </c>
    </row>
    <row r="298" spans="1:12" ht="15" customHeight="1" x14ac:dyDescent="0.3">
      <c r="A298" s="51">
        <v>46227</v>
      </c>
      <c r="B298" s="52" t="s">
        <v>151</v>
      </c>
      <c r="C298" s="119" t="str">
        <f>IF($B298="","",IFERROR(INDEX(Productos!$B:$B,MATCH($B298,Productos!$A:$A,0)),""))</f>
        <v>Detergente 1 kg</v>
      </c>
      <c r="D298" s="53">
        <v>1</v>
      </c>
      <c r="E298" s="120">
        <f>IF($B298="","",IFERROR(INDEX(Productos!$F:$F,MATCH($B298,Productos!$A:$A,0)),0))</f>
        <v>9200</v>
      </c>
      <c r="F298" s="120">
        <f t="shared" si="12"/>
        <v>9200</v>
      </c>
      <c r="G298" s="120">
        <f>IF($B298="","",IFERROR(INDEX(Productos!$E:$E,MATCH($B298,Productos!$A:$A,0)),0))</f>
        <v>6800</v>
      </c>
      <c r="H298" s="120">
        <f t="shared" si="13"/>
        <v>6800</v>
      </c>
      <c r="I298" s="120">
        <f t="shared" si="14"/>
        <v>2400</v>
      </c>
      <c r="J298" s="52" t="s">
        <v>104</v>
      </c>
      <c r="K298" s="52" t="s">
        <v>78</v>
      </c>
      <c r="L298" s="119" t="str">
        <f>IF($B298="","",IFERROR(INDEX(Productos!$C:$C,MATCH($B298,Productos!$A:$A,0)),""))</f>
        <v>Aseo hogar</v>
      </c>
    </row>
    <row r="299" spans="1:12" ht="15" customHeight="1" x14ac:dyDescent="0.3">
      <c r="A299" s="51">
        <v>46227</v>
      </c>
      <c r="B299" s="52" t="s">
        <v>158</v>
      </c>
      <c r="C299" s="119" t="str">
        <f>IF($B299="","",IFERROR(INDEX(Productos!$B:$B,MATCH($B299,Productos!$A:$A,0)),""))</f>
        <v>Huevos AA x 12</v>
      </c>
      <c r="D299" s="53">
        <v>1</v>
      </c>
      <c r="E299" s="120">
        <f>IF($B299="","",IFERROR(INDEX(Productos!$F:$F,MATCH($B299,Productos!$A:$A,0)),0))</f>
        <v>12000</v>
      </c>
      <c r="F299" s="120">
        <f t="shared" si="12"/>
        <v>12000</v>
      </c>
      <c r="G299" s="120">
        <f>IF($B299="","",IFERROR(INDEX(Productos!$E:$E,MATCH($B299,Productos!$A:$A,0)),0))</f>
        <v>9200</v>
      </c>
      <c r="H299" s="120">
        <f t="shared" si="13"/>
        <v>9200</v>
      </c>
      <c r="I299" s="120">
        <f t="shared" si="14"/>
        <v>2800</v>
      </c>
      <c r="J299" s="52" t="s">
        <v>106</v>
      </c>
      <c r="K299" s="52" t="s">
        <v>78</v>
      </c>
      <c r="L299" s="119" t="str">
        <f>IF($B299="","",IFERROR(INDEX(Productos!$C:$C,MATCH($B299,Productos!$A:$A,0)),""))</f>
        <v>Perecederos</v>
      </c>
    </row>
    <row r="300" spans="1:12" ht="15" customHeight="1" x14ac:dyDescent="0.3">
      <c r="A300" s="51">
        <v>46227</v>
      </c>
      <c r="B300" s="52" t="s">
        <v>163</v>
      </c>
      <c r="C300" s="119" t="str">
        <f>IF($B300="","",IFERROR(INDEX(Productos!$B:$B,MATCH($B300,Productos!$A:$A,0)),""))</f>
        <v>Tomate kg</v>
      </c>
      <c r="D300" s="53">
        <v>1</v>
      </c>
      <c r="E300" s="120">
        <f>IF($B300="","",IFERROR(INDEX(Productos!$F:$F,MATCH($B300,Productos!$A:$A,0)),0))</f>
        <v>4200</v>
      </c>
      <c r="F300" s="120">
        <f t="shared" si="12"/>
        <v>4200</v>
      </c>
      <c r="G300" s="120">
        <f>IF($B300="","",IFERROR(INDEX(Productos!$E:$E,MATCH($B300,Productos!$A:$A,0)),0))</f>
        <v>2800</v>
      </c>
      <c r="H300" s="120">
        <f t="shared" si="13"/>
        <v>2800</v>
      </c>
      <c r="I300" s="120">
        <f t="shared" si="14"/>
        <v>1400</v>
      </c>
      <c r="J300" s="52" t="s">
        <v>102</v>
      </c>
      <c r="K300" s="52" t="s">
        <v>78</v>
      </c>
      <c r="L300" s="119" t="str">
        <f>IF($B300="","",IFERROR(INDEX(Productos!$C:$C,MATCH($B300,Productos!$A:$A,0)),""))</f>
        <v>Frutas y verduras</v>
      </c>
    </row>
    <row r="301" spans="1:12" ht="15" customHeight="1" x14ac:dyDescent="0.3">
      <c r="A301" s="51">
        <v>46227</v>
      </c>
      <c r="B301" s="52" t="s">
        <v>166</v>
      </c>
      <c r="C301" s="119" t="str">
        <f>IF($B301="","",IFERROR(INDEX(Productos!$B:$B,MATCH($B301,Productos!$A:$A,0)),""))</f>
        <v>Papa kg</v>
      </c>
      <c r="D301" s="53">
        <v>1</v>
      </c>
      <c r="E301" s="120">
        <f>IF($B301="","",IFERROR(INDEX(Productos!$F:$F,MATCH($B301,Productos!$A:$A,0)),0))</f>
        <v>2800</v>
      </c>
      <c r="F301" s="120">
        <f t="shared" si="12"/>
        <v>2800</v>
      </c>
      <c r="G301" s="120">
        <f>IF($B301="","",IFERROR(INDEX(Productos!$E:$E,MATCH($B301,Productos!$A:$A,0)),0))</f>
        <v>1900</v>
      </c>
      <c r="H301" s="120">
        <f t="shared" si="13"/>
        <v>1900</v>
      </c>
      <c r="I301" s="120">
        <f t="shared" si="14"/>
        <v>900</v>
      </c>
      <c r="J301" s="52" t="s">
        <v>104</v>
      </c>
      <c r="K301" s="52" t="s">
        <v>78</v>
      </c>
      <c r="L301" s="119" t="str">
        <f>IF($B301="","",IFERROR(INDEX(Productos!$C:$C,MATCH($B301,Productos!$A:$A,0)),""))</f>
        <v>Frutas y verduras</v>
      </c>
    </row>
    <row r="302" spans="1:12" ht="15" customHeight="1" x14ac:dyDescent="0.3">
      <c r="A302" s="51">
        <v>46228</v>
      </c>
      <c r="B302" s="52" t="s">
        <v>121</v>
      </c>
      <c r="C302" s="119" t="str">
        <f>IF($B302="","",IFERROR(INDEX(Productos!$B:$B,MATCH($B302,Productos!$A:$A,0)),""))</f>
        <v>Arroz x 500 g</v>
      </c>
      <c r="D302" s="53">
        <v>2</v>
      </c>
      <c r="E302" s="120">
        <f>IF($B302="","",IFERROR(INDEX(Productos!$F:$F,MATCH($B302,Productos!$A:$A,0)),0))</f>
        <v>2600</v>
      </c>
      <c r="F302" s="120">
        <f t="shared" si="12"/>
        <v>5200</v>
      </c>
      <c r="G302" s="120">
        <f>IF($B302="","",IFERROR(INDEX(Productos!$E:$E,MATCH($B302,Productos!$A:$A,0)),0))</f>
        <v>1850</v>
      </c>
      <c r="H302" s="120">
        <f t="shared" si="13"/>
        <v>3700</v>
      </c>
      <c r="I302" s="120">
        <f t="shared" si="14"/>
        <v>1500</v>
      </c>
      <c r="J302" s="52" t="s">
        <v>106</v>
      </c>
      <c r="K302" s="52" t="s">
        <v>79</v>
      </c>
      <c r="L302" s="119" t="str">
        <f>IF($B302="","",IFERROR(INDEX(Productos!$C:$C,MATCH($B302,Productos!$A:$A,0)),""))</f>
        <v>Granos y abarrotes</v>
      </c>
    </row>
    <row r="303" spans="1:12" ht="15" customHeight="1" x14ac:dyDescent="0.3">
      <c r="A303" s="51">
        <v>46228</v>
      </c>
      <c r="B303" s="52" t="s">
        <v>126</v>
      </c>
      <c r="C303" s="119" t="str">
        <f>IF($B303="","",IFERROR(INDEX(Productos!$B:$B,MATCH($B303,Productos!$A:$A,0)),""))</f>
        <v>Panela x 500 g</v>
      </c>
      <c r="D303" s="53">
        <v>2</v>
      </c>
      <c r="E303" s="120">
        <f>IF($B303="","",IFERROR(INDEX(Productos!$F:$F,MATCH($B303,Productos!$A:$A,0)),0))</f>
        <v>2900</v>
      </c>
      <c r="F303" s="120">
        <f t="shared" si="12"/>
        <v>5800</v>
      </c>
      <c r="G303" s="120">
        <f>IF($B303="","",IFERROR(INDEX(Productos!$E:$E,MATCH($B303,Productos!$A:$A,0)),0))</f>
        <v>2100</v>
      </c>
      <c r="H303" s="120">
        <f t="shared" si="13"/>
        <v>4200</v>
      </c>
      <c r="I303" s="120">
        <f t="shared" si="14"/>
        <v>1600</v>
      </c>
      <c r="J303" s="52" t="s">
        <v>106</v>
      </c>
      <c r="K303" s="52" t="s">
        <v>78</v>
      </c>
      <c r="L303" s="119" t="str">
        <f>IF($B303="","",IFERROR(INDEX(Productos!$C:$C,MATCH($B303,Productos!$A:$A,0)),""))</f>
        <v>Granos y abarrotes</v>
      </c>
    </row>
    <row r="304" spans="1:12" ht="15" customHeight="1" x14ac:dyDescent="0.3">
      <c r="A304" s="51">
        <v>46228</v>
      </c>
      <c r="B304" s="52" t="s">
        <v>129</v>
      </c>
      <c r="C304" s="119" t="str">
        <f>IF($B304="","",IFERROR(INDEX(Productos!$B:$B,MATCH($B304,Productos!$A:$A,0)),""))</f>
        <v>Leche entera 1 L</v>
      </c>
      <c r="D304" s="53">
        <v>1</v>
      </c>
      <c r="E304" s="120">
        <f>IF($B304="","",IFERROR(INDEX(Productos!$F:$F,MATCH($B304,Productos!$A:$A,0)),0))</f>
        <v>3900</v>
      </c>
      <c r="F304" s="120">
        <f t="shared" si="12"/>
        <v>3900</v>
      </c>
      <c r="G304" s="120">
        <f>IF($B304="","",IFERROR(INDEX(Productos!$E:$E,MATCH($B304,Productos!$A:$A,0)),0))</f>
        <v>3100</v>
      </c>
      <c r="H304" s="120">
        <f t="shared" si="13"/>
        <v>3100</v>
      </c>
      <c r="I304" s="120">
        <f t="shared" si="14"/>
        <v>800</v>
      </c>
      <c r="J304" s="52" t="s">
        <v>106</v>
      </c>
      <c r="K304" s="52" t="s">
        <v>79</v>
      </c>
      <c r="L304" s="119" t="str">
        <f>IF($B304="","",IFERROR(INDEX(Productos!$C:$C,MATCH($B304,Productos!$A:$A,0)),""))</f>
        <v>Lácteos</v>
      </c>
    </row>
    <row r="305" spans="1:12" ht="15" customHeight="1" x14ac:dyDescent="0.3">
      <c r="A305" s="51">
        <v>46228</v>
      </c>
      <c r="B305" s="52" t="s">
        <v>134</v>
      </c>
      <c r="C305" s="119" t="str">
        <f>IF($B305="","",IFERROR(INDEX(Productos!$B:$B,MATCH($B305,Productos!$A:$A,0)),""))</f>
        <v>Yogur 1 L</v>
      </c>
      <c r="D305" s="53">
        <v>1</v>
      </c>
      <c r="E305" s="120">
        <f>IF($B305="","",IFERROR(INDEX(Productos!$F:$F,MATCH($B305,Productos!$A:$A,0)),0))</f>
        <v>7200</v>
      </c>
      <c r="F305" s="120">
        <f t="shared" si="12"/>
        <v>7200</v>
      </c>
      <c r="G305" s="120">
        <f>IF($B305="","",IFERROR(INDEX(Productos!$E:$E,MATCH($B305,Productos!$A:$A,0)),0))</f>
        <v>5400</v>
      </c>
      <c r="H305" s="120">
        <f t="shared" si="13"/>
        <v>5400</v>
      </c>
      <c r="I305" s="120">
        <f t="shared" si="14"/>
        <v>1800</v>
      </c>
      <c r="J305" s="52" t="s">
        <v>106</v>
      </c>
      <c r="K305" s="52" t="s">
        <v>78</v>
      </c>
      <c r="L305" s="119" t="str">
        <f>IF($B305="","",IFERROR(INDEX(Productos!$C:$C,MATCH($B305,Productos!$A:$A,0)),""))</f>
        <v>Lácteos</v>
      </c>
    </row>
    <row r="306" spans="1:12" ht="15" customHeight="1" x14ac:dyDescent="0.3">
      <c r="A306" s="51">
        <v>46228</v>
      </c>
      <c r="B306" s="52" t="s">
        <v>136</v>
      </c>
      <c r="C306" s="119" t="str">
        <f>IF($B306="","",IFERROR(INDEX(Productos!$B:$B,MATCH($B306,Productos!$A:$A,0)),""))</f>
        <v>Gaseosa 1,5 L</v>
      </c>
      <c r="D306" s="53">
        <v>2</v>
      </c>
      <c r="E306" s="120">
        <f>IF($B306="","",IFERROR(INDEX(Productos!$F:$F,MATCH($B306,Productos!$A:$A,0)),0))</f>
        <v>4500</v>
      </c>
      <c r="F306" s="120">
        <f t="shared" si="12"/>
        <v>9000</v>
      </c>
      <c r="G306" s="120">
        <f>IF($B306="","",IFERROR(INDEX(Productos!$E:$E,MATCH($B306,Productos!$A:$A,0)),0))</f>
        <v>3400</v>
      </c>
      <c r="H306" s="120">
        <f t="shared" si="13"/>
        <v>6800</v>
      </c>
      <c r="I306" s="120">
        <f t="shared" si="14"/>
        <v>2200</v>
      </c>
      <c r="J306" s="52" t="s">
        <v>104</v>
      </c>
      <c r="K306" s="52" t="s">
        <v>78</v>
      </c>
      <c r="L306" s="119" t="str">
        <f>IF($B306="","",IFERROR(INDEX(Productos!$C:$C,MATCH($B306,Productos!$A:$A,0)),""))</f>
        <v>Bebidas</v>
      </c>
    </row>
    <row r="307" spans="1:12" ht="15" customHeight="1" x14ac:dyDescent="0.3">
      <c r="A307" s="51">
        <v>46228</v>
      </c>
      <c r="B307" s="52" t="s">
        <v>139</v>
      </c>
      <c r="C307" s="119" t="str">
        <f>IF($B307="","",IFERROR(INDEX(Productos!$B:$B,MATCH($B307,Productos!$A:$A,0)),""))</f>
        <v>Agua 600 ml</v>
      </c>
      <c r="D307" s="53">
        <v>2</v>
      </c>
      <c r="E307" s="120">
        <f>IF($B307="","",IFERROR(INDEX(Productos!$F:$F,MATCH($B307,Productos!$A:$A,0)),0))</f>
        <v>1800</v>
      </c>
      <c r="F307" s="120">
        <f t="shared" si="12"/>
        <v>3600</v>
      </c>
      <c r="G307" s="120">
        <f>IF($B307="","",IFERROR(INDEX(Productos!$E:$E,MATCH($B307,Productos!$A:$A,0)),0))</f>
        <v>1200</v>
      </c>
      <c r="H307" s="120">
        <f t="shared" si="13"/>
        <v>2400</v>
      </c>
      <c r="I307" s="120">
        <f t="shared" si="14"/>
        <v>1200</v>
      </c>
      <c r="J307" s="52" t="s">
        <v>106</v>
      </c>
      <c r="K307" s="52" t="s">
        <v>81</v>
      </c>
      <c r="L307" s="119" t="str">
        <f>IF($B307="","",IFERROR(INDEX(Productos!$C:$C,MATCH($B307,Productos!$A:$A,0)),""))</f>
        <v>Bebidas</v>
      </c>
    </row>
    <row r="308" spans="1:12" ht="15" customHeight="1" x14ac:dyDescent="0.3">
      <c r="A308" s="51">
        <v>46228</v>
      </c>
      <c r="B308" s="52" t="s">
        <v>141</v>
      </c>
      <c r="C308" s="119" t="str">
        <f>IF($B308="","",IFERROR(INDEX(Productos!$B:$B,MATCH($B308,Productos!$A:$A,0)),""))</f>
        <v>Cerveza lata 330 ml</v>
      </c>
      <c r="D308" s="53">
        <v>1</v>
      </c>
      <c r="E308" s="120">
        <f>IF($B308="","",IFERROR(INDEX(Productos!$F:$F,MATCH($B308,Productos!$A:$A,0)),0))</f>
        <v>3800</v>
      </c>
      <c r="F308" s="120">
        <f t="shared" si="12"/>
        <v>3800</v>
      </c>
      <c r="G308" s="120">
        <f>IF($B308="","",IFERROR(INDEX(Productos!$E:$E,MATCH($B308,Productos!$A:$A,0)),0))</f>
        <v>2600</v>
      </c>
      <c r="H308" s="120">
        <f t="shared" si="13"/>
        <v>2600</v>
      </c>
      <c r="I308" s="120">
        <f t="shared" si="14"/>
        <v>1200</v>
      </c>
      <c r="J308" s="52" t="s">
        <v>106</v>
      </c>
      <c r="K308" s="52" t="s">
        <v>78</v>
      </c>
      <c r="L308" s="119" t="str">
        <f>IF($B308="","",IFERROR(INDEX(Productos!$C:$C,MATCH($B308,Productos!$A:$A,0)),""))</f>
        <v>Bebidas</v>
      </c>
    </row>
    <row r="309" spans="1:12" ht="15" customHeight="1" x14ac:dyDescent="0.3">
      <c r="A309" s="51">
        <v>46228</v>
      </c>
      <c r="B309" s="52" t="s">
        <v>146</v>
      </c>
      <c r="C309" s="119" t="str">
        <f>IF($B309="","",IFERROR(INDEX(Productos!$B:$B,MATCH($B309,Productos!$A:$A,0)),""))</f>
        <v>Galletas surtidas</v>
      </c>
      <c r="D309" s="53">
        <v>1</v>
      </c>
      <c r="E309" s="120">
        <f>IF($B309="","",IFERROR(INDEX(Productos!$F:$F,MATCH($B309,Productos!$A:$A,0)),0))</f>
        <v>2700</v>
      </c>
      <c r="F309" s="120">
        <f t="shared" si="12"/>
        <v>2700</v>
      </c>
      <c r="G309" s="120">
        <f>IF($B309="","",IFERROR(INDEX(Productos!$E:$E,MATCH($B309,Productos!$A:$A,0)),0))</f>
        <v>1800</v>
      </c>
      <c r="H309" s="120">
        <f t="shared" si="13"/>
        <v>1800</v>
      </c>
      <c r="I309" s="120">
        <f t="shared" si="14"/>
        <v>900</v>
      </c>
      <c r="J309" s="52" t="s">
        <v>102</v>
      </c>
      <c r="K309" s="52" t="s">
        <v>79</v>
      </c>
      <c r="L309" s="119" t="str">
        <f>IF($B309="","",IFERROR(INDEX(Productos!$C:$C,MATCH($B309,Productos!$A:$A,0)),""))</f>
        <v>Snacks</v>
      </c>
    </row>
    <row r="310" spans="1:12" ht="15" customHeight="1" x14ac:dyDescent="0.3">
      <c r="A310" s="51">
        <v>46228</v>
      </c>
      <c r="B310" s="52" t="s">
        <v>149</v>
      </c>
      <c r="C310" s="119" t="str">
        <f>IF($B310="","",IFERROR(INDEX(Productos!$B:$B,MATCH($B310,Productos!$A:$A,0)),""))</f>
        <v>Papas fritas 105 g</v>
      </c>
      <c r="D310" s="53">
        <v>1</v>
      </c>
      <c r="E310" s="120">
        <f>IF($B310="","",IFERROR(INDEX(Productos!$F:$F,MATCH($B310,Productos!$A:$A,0)),0))</f>
        <v>4800</v>
      </c>
      <c r="F310" s="120">
        <f t="shared" si="12"/>
        <v>4800</v>
      </c>
      <c r="G310" s="120">
        <f>IF($B310="","",IFERROR(INDEX(Productos!$E:$E,MATCH($B310,Productos!$A:$A,0)),0))</f>
        <v>3200</v>
      </c>
      <c r="H310" s="120">
        <f t="shared" si="13"/>
        <v>3200</v>
      </c>
      <c r="I310" s="120">
        <f t="shared" si="14"/>
        <v>1600</v>
      </c>
      <c r="J310" s="52" t="s">
        <v>104</v>
      </c>
      <c r="K310" s="52" t="s">
        <v>81</v>
      </c>
      <c r="L310" s="119" t="str">
        <f>IF($B310="","",IFERROR(INDEX(Productos!$C:$C,MATCH($B310,Productos!$A:$A,0)),""))</f>
        <v>Snacks</v>
      </c>
    </row>
    <row r="311" spans="1:12" ht="15" customHeight="1" x14ac:dyDescent="0.3">
      <c r="A311" s="51">
        <v>46228</v>
      </c>
      <c r="B311" s="52" t="s">
        <v>161</v>
      </c>
      <c r="C311" s="119" t="str">
        <f>IF($B311="","",IFERROR(INDEX(Productos!$B:$B,MATCH($B311,Productos!$A:$A,0)),""))</f>
        <v>Pollo entero kg</v>
      </c>
      <c r="D311" s="53">
        <v>2</v>
      </c>
      <c r="E311" s="120">
        <f>IF($B311="","",IFERROR(INDEX(Productos!$F:$F,MATCH($B311,Productos!$A:$A,0)),0))</f>
        <v>14800</v>
      </c>
      <c r="F311" s="120">
        <f t="shared" si="12"/>
        <v>29600</v>
      </c>
      <c r="G311" s="120">
        <f>IF($B311="","",IFERROR(INDEX(Productos!$E:$E,MATCH($B311,Productos!$A:$A,0)),0))</f>
        <v>11500</v>
      </c>
      <c r="H311" s="120">
        <f t="shared" si="13"/>
        <v>23000</v>
      </c>
      <c r="I311" s="120">
        <f t="shared" si="14"/>
        <v>6600</v>
      </c>
      <c r="J311" s="52" t="s">
        <v>106</v>
      </c>
      <c r="K311" s="52" t="s">
        <v>79</v>
      </c>
      <c r="L311" s="119" t="str">
        <f>IF($B311="","",IFERROR(INDEX(Productos!$C:$C,MATCH($B311,Productos!$A:$A,0)),""))</f>
        <v>Perecederos</v>
      </c>
    </row>
    <row r="312" spans="1:12" ht="15" customHeight="1" x14ac:dyDescent="0.3">
      <c r="A312" s="51">
        <v>46228</v>
      </c>
      <c r="B312" s="52" t="s">
        <v>163</v>
      </c>
      <c r="C312" s="119" t="str">
        <f>IF($B312="","",IFERROR(INDEX(Productos!$B:$B,MATCH($B312,Productos!$A:$A,0)),""))</f>
        <v>Tomate kg</v>
      </c>
      <c r="D312" s="53">
        <v>1</v>
      </c>
      <c r="E312" s="120">
        <f>IF($B312="","",IFERROR(INDEX(Productos!$F:$F,MATCH($B312,Productos!$A:$A,0)),0))</f>
        <v>4200</v>
      </c>
      <c r="F312" s="120">
        <f t="shared" si="12"/>
        <v>4200</v>
      </c>
      <c r="G312" s="120">
        <f>IF($B312="","",IFERROR(INDEX(Productos!$E:$E,MATCH($B312,Productos!$A:$A,0)),0))</f>
        <v>2800</v>
      </c>
      <c r="H312" s="120">
        <f t="shared" si="13"/>
        <v>2800</v>
      </c>
      <c r="I312" s="120">
        <f t="shared" si="14"/>
        <v>1400</v>
      </c>
      <c r="J312" s="52" t="s">
        <v>102</v>
      </c>
      <c r="K312" s="52" t="s">
        <v>79</v>
      </c>
      <c r="L312" s="119" t="str">
        <f>IF($B312="","",IFERROR(INDEX(Productos!$C:$C,MATCH($B312,Productos!$A:$A,0)),""))</f>
        <v>Frutas y verduras</v>
      </c>
    </row>
    <row r="313" spans="1:12" ht="15" customHeight="1" x14ac:dyDescent="0.3">
      <c r="A313" s="51">
        <v>46228</v>
      </c>
      <c r="B313" s="52" t="s">
        <v>166</v>
      </c>
      <c r="C313" s="119" t="str">
        <f>IF($B313="","",IFERROR(INDEX(Productos!$B:$B,MATCH($B313,Productos!$A:$A,0)),""))</f>
        <v>Papa kg</v>
      </c>
      <c r="D313" s="53">
        <v>2</v>
      </c>
      <c r="E313" s="120">
        <f>IF($B313="","",IFERROR(INDEX(Productos!$F:$F,MATCH($B313,Productos!$A:$A,0)),0))</f>
        <v>2800</v>
      </c>
      <c r="F313" s="120">
        <f t="shared" si="12"/>
        <v>5600</v>
      </c>
      <c r="G313" s="120">
        <f>IF($B313="","",IFERROR(INDEX(Productos!$E:$E,MATCH($B313,Productos!$A:$A,0)),0))</f>
        <v>1900</v>
      </c>
      <c r="H313" s="120">
        <f t="shared" si="13"/>
        <v>3800</v>
      </c>
      <c r="I313" s="120">
        <f t="shared" si="14"/>
        <v>1800</v>
      </c>
      <c r="J313" s="52" t="s">
        <v>102</v>
      </c>
      <c r="K313" s="52" t="s">
        <v>78</v>
      </c>
      <c r="L313" s="119" t="str">
        <f>IF($B313="","",IFERROR(INDEX(Productos!$C:$C,MATCH($B313,Productos!$A:$A,0)),""))</f>
        <v>Frutas y verduras</v>
      </c>
    </row>
    <row r="314" spans="1:12" ht="15" customHeight="1" x14ac:dyDescent="0.3">
      <c r="A314" s="51">
        <v>46228</v>
      </c>
      <c r="B314" s="52" t="s">
        <v>168</v>
      </c>
      <c r="C314" s="119" t="str">
        <f>IF($B314="","",IFERROR(INDEX(Productos!$B:$B,MATCH($B314,Productos!$A:$A,0)),""))</f>
        <v>Banano kg</v>
      </c>
      <c r="D314" s="53">
        <v>3</v>
      </c>
      <c r="E314" s="120">
        <f>IF($B314="","",IFERROR(INDEX(Productos!$F:$F,MATCH($B314,Productos!$A:$A,0)),0))</f>
        <v>3400</v>
      </c>
      <c r="F314" s="120">
        <f t="shared" si="12"/>
        <v>10200</v>
      </c>
      <c r="G314" s="120">
        <f>IF($B314="","",IFERROR(INDEX(Productos!$E:$E,MATCH($B314,Productos!$A:$A,0)),0))</f>
        <v>2200</v>
      </c>
      <c r="H314" s="120">
        <f t="shared" si="13"/>
        <v>6600</v>
      </c>
      <c r="I314" s="120">
        <f t="shared" si="14"/>
        <v>3600</v>
      </c>
      <c r="J314" s="52" t="s">
        <v>106</v>
      </c>
      <c r="K314" s="52" t="s">
        <v>78</v>
      </c>
      <c r="L314" s="119" t="str">
        <f>IF($B314="","",IFERROR(INDEX(Productos!$C:$C,MATCH($B314,Productos!$A:$A,0)),""))</f>
        <v>Frutas y verduras</v>
      </c>
    </row>
    <row r="315" spans="1:12" ht="15" customHeight="1" x14ac:dyDescent="0.3">
      <c r="A315" s="51">
        <v>46229</v>
      </c>
      <c r="B315" s="52" t="s">
        <v>121</v>
      </c>
      <c r="C315" s="119" t="str">
        <f>IF($B315="","",IFERROR(INDEX(Productos!$B:$B,MATCH($B315,Productos!$A:$A,0)),""))</f>
        <v>Arroz x 500 g</v>
      </c>
      <c r="D315" s="53">
        <v>2</v>
      </c>
      <c r="E315" s="120">
        <f>IF($B315="","",IFERROR(INDEX(Productos!$F:$F,MATCH($B315,Productos!$A:$A,0)),0))</f>
        <v>2600</v>
      </c>
      <c r="F315" s="120">
        <f t="shared" si="12"/>
        <v>5200</v>
      </c>
      <c r="G315" s="120">
        <f>IF($B315="","",IFERROR(INDEX(Productos!$E:$E,MATCH($B315,Productos!$A:$A,0)),0))</f>
        <v>1850</v>
      </c>
      <c r="H315" s="120">
        <f t="shared" si="13"/>
        <v>3700</v>
      </c>
      <c r="I315" s="120">
        <f t="shared" si="14"/>
        <v>1500</v>
      </c>
      <c r="J315" s="52" t="s">
        <v>104</v>
      </c>
      <c r="K315" s="52" t="s">
        <v>78</v>
      </c>
      <c r="L315" s="119" t="str">
        <f>IF($B315="","",IFERROR(INDEX(Productos!$C:$C,MATCH($B315,Productos!$A:$A,0)),""))</f>
        <v>Granos y abarrotes</v>
      </c>
    </row>
    <row r="316" spans="1:12" ht="15" customHeight="1" x14ac:dyDescent="0.3">
      <c r="A316" s="51">
        <v>46229</v>
      </c>
      <c r="B316" s="52" t="s">
        <v>129</v>
      </c>
      <c r="C316" s="119" t="str">
        <f>IF($B316="","",IFERROR(INDEX(Productos!$B:$B,MATCH($B316,Productos!$A:$A,0)),""))</f>
        <v>Leche entera 1 L</v>
      </c>
      <c r="D316" s="53">
        <v>2</v>
      </c>
      <c r="E316" s="120">
        <f>IF($B316="","",IFERROR(INDEX(Productos!$F:$F,MATCH($B316,Productos!$A:$A,0)),0))</f>
        <v>3900</v>
      </c>
      <c r="F316" s="120">
        <f t="shared" si="12"/>
        <v>7800</v>
      </c>
      <c r="G316" s="120">
        <f>IF($B316="","",IFERROR(INDEX(Productos!$E:$E,MATCH($B316,Productos!$A:$A,0)),0))</f>
        <v>3100</v>
      </c>
      <c r="H316" s="120">
        <f t="shared" si="13"/>
        <v>6200</v>
      </c>
      <c r="I316" s="120">
        <f t="shared" si="14"/>
        <v>1600</v>
      </c>
      <c r="J316" s="52" t="s">
        <v>102</v>
      </c>
      <c r="K316" s="52" t="s">
        <v>80</v>
      </c>
      <c r="L316" s="119" t="str">
        <f>IF($B316="","",IFERROR(INDEX(Productos!$C:$C,MATCH($B316,Productos!$A:$A,0)),""))</f>
        <v>Lácteos</v>
      </c>
    </row>
    <row r="317" spans="1:12" ht="15" customHeight="1" x14ac:dyDescent="0.3">
      <c r="A317" s="51">
        <v>46229</v>
      </c>
      <c r="B317" s="52" t="s">
        <v>132</v>
      </c>
      <c r="C317" s="119" t="str">
        <f>IF($B317="","",IFERROR(INDEX(Productos!$B:$B,MATCH($B317,Productos!$A:$A,0)),""))</f>
        <v>Queso campesino 500 g</v>
      </c>
      <c r="D317" s="53">
        <v>2</v>
      </c>
      <c r="E317" s="120">
        <f>IF($B317="","",IFERROR(INDEX(Productos!$F:$F,MATCH($B317,Productos!$A:$A,0)),0))</f>
        <v>13500</v>
      </c>
      <c r="F317" s="120">
        <f t="shared" si="12"/>
        <v>27000</v>
      </c>
      <c r="G317" s="120">
        <f>IF($B317="","",IFERROR(INDEX(Productos!$E:$E,MATCH($B317,Productos!$A:$A,0)),0))</f>
        <v>9800</v>
      </c>
      <c r="H317" s="120">
        <f t="shared" si="13"/>
        <v>19600</v>
      </c>
      <c r="I317" s="120">
        <f t="shared" si="14"/>
        <v>7400</v>
      </c>
      <c r="J317" s="52" t="s">
        <v>104</v>
      </c>
      <c r="K317" s="52" t="s">
        <v>80</v>
      </c>
      <c r="L317" s="119" t="str">
        <f>IF($B317="","",IFERROR(INDEX(Productos!$C:$C,MATCH($B317,Productos!$A:$A,0)),""))</f>
        <v>Lácteos</v>
      </c>
    </row>
    <row r="318" spans="1:12" ht="15" customHeight="1" x14ac:dyDescent="0.3">
      <c r="A318" s="51">
        <v>46229</v>
      </c>
      <c r="B318" s="52" t="s">
        <v>136</v>
      </c>
      <c r="C318" s="119" t="str">
        <f>IF($B318="","",IFERROR(INDEX(Productos!$B:$B,MATCH($B318,Productos!$A:$A,0)),""))</f>
        <v>Gaseosa 1,5 L</v>
      </c>
      <c r="D318" s="53">
        <v>3</v>
      </c>
      <c r="E318" s="120">
        <f>IF($B318="","",IFERROR(INDEX(Productos!$F:$F,MATCH($B318,Productos!$A:$A,0)),0))</f>
        <v>4500</v>
      </c>
      <c r="F318" s="120">
        <f t="shared" si="12"/>
        <v>13500</v>
      </c>
      <c r="G318" s="120">
        <f>IF($B318="","",IFERROR(INDEX(Productos!$E:$E,MATCH($B318,Productos!$A:$A,0)),0))</f>
        <v>3400</v>
      </c>
      <c r="H318" s="120">
        <f t="shared" si="13"/>
        <v>10200</v>
      </c>
      <c r="I318" s="120">
        <f t="shared" si="14"/>
        <v>3300</v>
      </c>
      <c r="J318" s="52" t="s">
        <v>108</v>
      </c>
      <c r="K318" s="52" t="s">
        <v>78</v>
      </c>
      <c r="L318" s="119" t="str">
        <f>IF($B318="","",IFERROR(INDEX(Productos!$C:$C,MATCH($B318,Productos!$A:$A,0)),""))</f>
        <v>Bebidas</v>
      </c>
    </row>
    <row r="319" spans="1:12" ht="15" customHeight="1" x14ac:dyDescent="0.3">
      <c r="A319" s="51">
        <v>46229</v>
      </c>
      <c r="B319" s="52" t="s">
        <v>139</v>
      </c>
      <c r="C319" s="119" t="str">
        <f>IF($B319="","",IFERROR(INDEX(Productos!$B:$B,MATCH($B319,Productos!$A:$A,0)),""))</f>
        <v>Agua 600 ml</v>
      </c>
      <c r="D319" s="53">
        <v>2</v>
      </c>
      <c r="E319" s="120">
        <f>IF($B319="","",IFERROR(INDEX(Productos!$F:$F,MATCH($B319,Productos!$A:$A,0)),0))</f>
        <v>1800</v>
      </c>
      <c r="F319" s="120">
        <f t="shared" si="12"/>
        <v>3600</v>
      </c>
      <c r="G319" s="120">
        <f>IF($B319="","",IFERROR(INDEX(Productos!$E:$E,MATCH($B319,Productos!$A:$A,0)),0))</f>
        <v>1200</v>
      </c>
      <c r="H319" s="120">
        <f t="shared" si="13"/>
        <v>2400</v>
      </c>
      <c r="I319" s="120">
        <f t="shared" si="14"/>
        <v>1200</v>
      </c>
      <c r="J319" s="52" t="s">
        <v>106</v>
      </c>
      <c r="K319" s="52" t="s">
        <v>78</v>
      </c>
      <c r="L319" s="119" t="str">
        <f>IF($B319="","",IFERROR(INDEX(Productos!$C:$C,MATCH($B319,Productos!$A:$A,0)),""))</f>
        <v>Bebidas</v>
      </c>
    </row>
    <row r="320" spans="1:12" ht="15" customHeight="1" x14ac:dyDescent="0.3">
      <c r="A320" s="51">
        <v>46229</v>
      </c>
      <c r="B320" s="52" t="s">
        <v>141</v>
      </c>
      <c r="C320" s="119" t="str">
        <f>IF($B320="","",IFERROR(INDEX(Productos!$B:$B,MATCH($B320,Productos!$A:$A,0)),""))</f>
        <v>Cerveza lata 330 ml</v>
      </c>
      <c r="D320" s="53">
        <v>1</v>
      </c>
      <c r="E320" s="120">
        <f>IF($B320="","",IFERROR(INDEX(Productos!$F:$F,MATCH($B320,Productos!$A:$A,0)),0))</f>
        <v>3800</v>
      </c>
      <c r="F320" s="120">
        <f t="shared" si="12"/>
        <v>3800</v>
      </c>
      <c r="G320" s="120">
        <f>IF($B320="","",IFERROR(INDEX(Productos!$E:$E,MATCH($B320,Productos!$A:$A,0)),0))</f>
        <v>2600</v>
      </c>
      <c r="H320" s="120">
        <f t="shared" si="13"/>
        <v>2600</v>
      </c>
      <c r="I320" s="120">
        <f t="shared" si="14"/>
        <v>1200</v>
      </c>
      <c r="J320" s="52" t="s">
        <v>106</v>
      </c>
      <c r="K320" s="52" t="s">
        <v>79</v>
      </c>
      <c r="L320" s="119" t="str">
        <f>IF($B320="","",IFERROR(INDEX(Productos!$C:$C,MATCH($B320,Productos!$A:$A,0)),""))</f>
        <v>Bebidas</v>
      </c>
    </row>
    <row r="321" spans="1:12" ht="15" customHeight="1" x14ac:dyDescent="0.3">
      <c r="A321" s="51">
        <v>46229</v>
      </c>
      <c r="B321" s="52" t="s">
        <v>143</v>
      </c>
      <c r="C321" s="119" t="str">
        <f>IF($B321="","",IFERROR(INDEX(Productos!$B:$B,MATCH($B321,Productos!$A:$A,0)),""))</f>
        <v>Pan tajado 500 g</v>
      </c>
      <c r="D321" s="53">
        <v>3</v>
      </c>
      <c r="E321" s="120">
        <f>IF($B321="","",IFERROR(INDEX(Productos!$F:$F,MATCH($B321,Productos!$A:$A,0)),0))</f>
        <v>5200</v>
      </c>
      <c r="F321" s="120">
        <f t="shared" si="12"/>
        <v>15600</v>
      </c>
      <c r="G321" s="120">
        <f>IF($B321="","",IFERROR(INDEX(Productos!$E:$E,MATCH($B321,Productos!$A:$A,0)),0))</f>
        <v>3900</v>
      </c>
      <c r="H321" s="120">
        <f t="shared" si="13"/>
        <v>11700</v>
      </c>
      <c r="I321" s="120">
        <f t="shared" si="14"/>
        <v>3900</v>
      </c>
      <c r="J321" s="52" t="s">
        <v>104</v>
      </c>
      <c r="K321" s="52" t="s">
        <v>79</v>
      </c>
      <c r="L321" s="119" t="str">
        <f>IF($B321="","",IFERROR(INDEX(Productos!$C:$C,MATCH($B321,Productos!$A:$A,0)),""))</f>
        <v>Panadería</v>
      </c>
    </row>
    <row r="322" spans="1:12" ht="15" customHeight="1" x14ac:dyDescent="0.3">
      <c r="A322" s="51">
        <v>46229</v>
      </c>
      <c r="B322" s="52" t="s">
        <v>146</v>
      </c>
      <c r="C322" s="119" t="str">
        <f>IF($B322="","",IFERROR(INDEX(Productos!$B:$B,MATCH($B322,Productos!$A:$A,0)),""))</f>
        <v>Galletas surtidas</v>
      </c>
      <c r="D322" s="53">
        <v>1</v>
      </c>
      <c r="E322" s="120">
        <f>IF($B322="","",IFERROR(INDEX(Productos!$F:$F,MATCH($B322,Productos!$A:$A,0)),0))</f>
        <v>2700</v>
      </c>
      <c r="F322" s="120">
        <f t="shared" si="12"/>
        <v>2700</v>
      </c>
      <c r="G322" s="120">
        <f>IF($B322="","",IFERROR(INDEX(Productos!$E:$E,MATCH($B322,Productos!$A:$A,0)),0))</f>
        <v>1800</v>
      </c>
      <c r="H322" s="120">
        <f t="shared" si="13"/>
        <v>1800</v>
      </c>
      <c r="I322" s="120">
        <f t="shared" si="14"/>
        <v>900</v>
      </c>
      <c r="J322" s="52" t="s">
        <v>104</v>
      </c>
      <c r="K322" s="52" t="s">
        <v>78</v>
      </c>
      <c r="L322" s="119" t="str">
        <f>IF($B322="","",IFERROR(INDEX(Productos!$C:$C,MATCH($B322,Productos!$A:$A,0)),""))</f>
        <v>Snacks</v>
      </c>
    </row>
    <row r="323" spans="1:12" ht="15" customHeight="1" x14ac:dyDescent="0.3">
      <c r="A323" s="51">
        <v>46229</v>
      </c>
      <c r="B323" s="52" t="s">
        <v>149</v>
      </c>
      <c r="C323" s="119" t="str">
        <f>IF($B323="","",IFERROR(INDEX(Productos!$B:$B,MATCH($B323,Productos!$A:$A,0)),""))</f>
        <v>Papas fritas 105 g</v>
      </c>
      <c r="D323" s="53">
        <v>1</v>
      </c>
      <c r="E323" s="120">
        <f>IF($B323="","",IFERROR(INDEX(Productos!$F:$F,MATCH($B323,Productos!$A:$A,0)),0))</f>
        <v>4800</v>
      </c>
      <c r="F323" s="120">
        <f t="shared" si="12"/>
        <v>4800</v>
      </c>
      <c r="G323" s="120">
        <f>IF($B323="","",IFERROR(INDEX(Productos!$E:$E,MATCH($B323,Productos!$A:$A,0)),0))</f>
        <v>3200</v>
      </c>
      <c r="H323" s="120">
        <f t="shared" si="13"/>
        <v>3200</v>
      </c>
      <c r="I323" s="120">
        <f t="shared" si="14"/>
        <v>1600</v>
      </c>
      <c r="J323" s="52" t="s">
        <v>102</v>
      </c>
      <c r="K323" s="52" t="s">
        <v>79</v>
      </c>
      <c r="L323" s="119" t="str">
        <f>IF($B323="","",IFERROR(INDEX(Productos!$C:$C,MATCH($B323,Productos!$A:$A,0)),""))</f>
        <v>Snacks</v>
      </c>
    </row>
    <row r="324" spans="1:12" ht="15" customHeight="1" x14ac:dyDescent="0.3">
      <c r="A324" s="51">
        <v>46229</v>
      </c>
      <c r="B324" s="52" t="s">
        <v>158</v>
      </c>
      <c r="C324" s="119" t="str">
        <f>IF($B324="","",IFERROR(INDEX(Productos!$B:$B,MATCH($B324,Productos!$A:$A,0)),""))</f>
        <v>Huevos AA x 12</v>
      </c>
      <c r="D324" s="53">
        <v>2</v>
      </c>
      <c r="E324" s="120">
        <f>IF($B324="","",IFERROR(INDEX(Productos!$F:$F,MATCH($B324,Productos!$A:$A,0)),0))</f>
        <v>12000</v>
      </c>
      <c r="F324" s="120">
        <f t="shared" si="12"/>
        <v>24000</v>
      </c>
      <c r="G324" s="120">
        <f>IF($B324="","",IFERROR(INDEX(Productos!$E:$E,MATCH($B324,Productos!$A:$A,0)),0))</f>
        <v>9200</v>
      </c>
      <c r="H324" s="120">
        <f t="shared" si="13"/>
        <v>18400</v>
      </c>
      <c r="I324" s="120">
        <f t="shared" si="14"/>
        <v>5600</v>
      </c>
      <c r="J324" s="52" t="s">
        <v>102</v>
      </c>
      <c r="K324" s="52" t="s">
        <v>78</v>
      </c>
      <c r="L324" s="119" t="str">
        <f>IF($B324="","",IFERROR(INDEX(Productos!$C:$C,MATCH($B324,Productos!$A:$A,0)),""))</f>
        <v>Perecederos</v>
      </c>
    </row>
    <row r="325" spans="1:12" ht="15" customHeight="1" x14ac:dyDescent="0.3">
      <c r="A325" s="51">
        <v>46229</v>
      </c>
      <c r="B325" s="52" t="s">
        <v>163</v>
      </c>
      <c r="C325" s="119" t="str">
        <f>IF($B325="","",IFERROR(INDEX(Productos!$B:$B,MATCH($B325,Productos!$A:$A,0)),""))</f>
        <v>Tomate kg</v>
      </c>
      <c r="D325" s="53">
        <v>1</v>
      </c>
      <c r="E325" s="120">
        <f>IF($B325="","",IFERROR(INDEX(Productos!$F:$F,MATCH($B325,Productos!$A:$A,0)),0))</f>
        <v>4200</v>
      </c>
      <c r="F325" s="120">
        <f t="shared" ref="F325:F378" si="15">IF($B325="","",N(D325)*E325)</f>
        <v>4200</v>
      </c>
      <c r="G325" s="120">
        <f>IF($B325="","",IFERROR(INDEX(Productos!$E:$E,MATCH($B325,Productos!$A:$A,0)),0))</f>
        <v>2800</v>
      </c>
      <c r="H325" s="120">
        <f t="shared" ref="H325:H378" si="16">IF($B325="","",N(D325)*G325)</f>
        <v>2800</v>
      </c>
      <c r="I325" s="120">
        <f t="shared" ref="I325:I378" si="17">IF($B325="","",F325-H325)</f>
        <v>1400</v>
      </c>
      <c r="J325" s="52" t="s">
        <v>108</v>
      </c>
      <c r="K325" s="52" t="s">
        <v>79</v>
      </c>
      <c r="L325" s="119" t="str">
        <f>IF($B325="","",IFERROR(INDEX(Productos!$C:$C,MATCH($B325,Productos!$A:$A,0)),""))</f>
        <v>Frutas y verduras</v>
      </c>
    </row>
    <row r="326" spans="1:12" ht="15" customHeight="1" x14ac:dyDescent="0.3">
      <c r="A326" s="51">
        <v>46229</v>
      </c>
      <c r="B326" s="52" t="s">
        <v>166</v>
      </c>
      <c r="C326" s="119" t="str">
        <f>IF($B326="","",IFERROR(INDEX(Productos!$B:$B,MATCH($B326,Productos!$A:$A,0)),""))</f>
        <v>Papa kg</v>
      </c>
      <c r="D326" s="53">
        <v>3</v>
      </c>
      <c r="E326" s="120">
        <f>IF($B326="","",IFERROR(INDEX(Productos!$F:$F,MATCH($B326,Productos!$A:$A,0)),0))</f>
        <v>2800</v>
      </c>
      <c r="F326" s="120">
        <f t="shared" si="15"/>
        <v>8400</v>
      </c>
      <c r="G326" s="120">
        <f>IF($B326="","",IFERROR(INDEX(Productos!$E:$E,MATCH($B326,Productos!$A:$A,0)),0))</f>
        <v>1900</v>
      </c>
      <c r="H326" s="120">
        <f t="shared" si="16"/>
        <v>5700</v>
      </c>
      <c r="I326" s="120">
        <f t="shared" si="17"/>
        <v>2700</v>
      </c>
      <c r="J326" s="52" t="s">
        <v>104</v>
      </c>
      <c r="K326" s="52" t="s">
        <v>79</v>
      </c>
      <c r="L326" s="119" t="str">
        <f>IF($B326="","",IFERROR(INDEX(Productos!$C:$C,MATCH($B326,Productos!$A:$A,0)),""))</f>
        <v>Frutas y verduras</v>
      </c>
    </row>
    <row r="327" spans="1:12" ht="15" customHeight="1" x14ac:dyDescent="0.3">
      <c r="A327" s="51">
        <v>46229</v>
      </c>
      <c r="B327" s="52" t="s">
        <v>168</v>
      </c>
      <c r="C327" s="119" t="str">
        <f>IF($B327="","",IFERROR(INDEX(Productos!$B:$B,MATCH($B327,Productos!$A:$A,0)),""))</f>
        <v>Banano kg</v>
      </c>
      <c r="D327" s="53">
        <v>3</v>
      </c>
      <c r="E327" s="120">
        <f>IF($B327="","",IFERROR(INDEX(Productos!$F:$F,MATCH($B327,Productos!$A:$A,0)),0))</f>
        <v>3400</v>
      </c>
      <c r="F327" s="120">
        <f t="shared" si="15"/>
        <v>10200</v>
      </c>
      <c r="G327" s="120">
        <f>IF($B327="","",IFERROR(INDEX(Productos!$E:$E,MATCH($B327,Productos!$A:$A,0)),0))</f>
        <v>2200</v>
      </c>
      <c r="H327" s="120">
        <f t="shared" si="16"/>
        <v>6600</v>
      </c>
      <c r="I327" s="120">
        <f t="shared" si="17"/>
        <v>3600</v>
      </c>
      <c r="J327" s="52" t="s">
        <v>102</v>
      </c>
      <c r="K327" s="52" t="s">
        <v>78</v>
      </c>
      <c r="L327" s="119" t="str">
        <f>IF($B327="","",IFERROR(INDEX(Productos!$C:$C,MATCH($B327,Productos!$A:$A,0)),""))</f>
        <v>Frutas y verduras</v>
      </c>
    </row>
    <row r="328" spans="1:12" ht="15" customHeight="1" x14ac:dyDescent="0.3">
      <c r="A328" s="51">
        <v>46230</v>
      </c>
      <c r="B328" s="52" t="s">
        <v>121</v>
      </c>
      <c r="C328" s="119" t="str">
        <f>IF($B328="","",IFERROR(INDEX(Productos!$B:$B,MATCH($B328,Productos!$A:$A,0)),""))</f>
        <v>Arroz x 500 g</v>
      </c>
      <c r="D328" s="53">
        <v>2</v>
      </c>
      <c r="E328" s="120">
        <f>IF($B328="","",IFERROR(INDEX(Productos!$F:$F,MATCH($B328,Productos!$A:$A,0)),0))</f>
        <v>2600</v>
      </c>
      <c r="F328" s="120">
        <f t="shared" si="15"/>
        <v>5200</v>
      </c>
      <c r="G328" s="120">
        <f>IF($B328="","",IFERROR(INDEX(Productos!$E:$E,MATCH($B328,Productos!$A:$A,0)),0))</f>
        <v>1850</v>
      </c>
      <c r="H328" s="120">
        <f t="shared" si="16"/>
        <v>3700</v>
      </c>
      <c r="I328" s="120">
        <f t="shared" si="17"/>
        <v>1500</v>
      </c>
      <c r="J328" s="52" t="s">
        <v>104</v>
      </c>
      <c r="K328" s="52" t="s">
        <v>78</v>
      </c>
      <c r="L328" s="119" t="str">
        <f>IF($B328="","",IFERROR(INDEX(Productos!$C:$C,MATCH($B328,Productos!$A:$A,0)),""))</f>
        <v>Granos y abarrotes</v>
      </c>
    </row>
    <row r="329" spans="1:12" ht="15" customHeight="1" x14ac:dyDescent="0.3">
      <c r="A329" s="51">
        <v>46230</v>
      </c>
      <c r="B329" s="52" t="s">
        <v>129</v>
      </c>
      <c r="C329" s="119" t="str">
        <f>IF($B329="","",IFERROR(INDEX(Productos!$B:$B,MATCH($B329,Productos!$A:$A,0)),""))</f>
        <v>Leche entera 1 L</v>
      </c>
      <c r="D329" s="53">
        <v>1</v>
      </c>
      <c r="E329" s="120">
        <f>IF($B329="","",IFERROR(INDEX(Productos!$F:$F,MATCH($B329,Productos!$A:$A,0)),0))</f>
        <v>3900</v>
      </c>
      <c r="F329" s="120">
        <f t="shared" si="15"/>
        <v>3900</v>
      </c>
      <c r="G329" s="120">
        <f>IF($B329="","",IFERROR(INDEX(Productos!$E:$E,MATCH($B329,Productos!$A:$A,0)),0))</f>
        <v>3100</v>
      </c>
      <c r="H329" s="120">
        <f t="shared" si="16"/>
        <v>3100</v>
      </c>
      <c r="I329" s="120">
        <f t="shared" si="17"/>
        <v>800</v>
      </c>
      <c r="J329" s="52" t="s">
        <v>104</v>
      </c>
      <c r="K329" s="52" t="s">
        <v>78</v>
      </c>
      <c r="L329" s="119" t="str">
        <f>IF($B329="","",IFERROR(INDEX(Productos!$C:$C,MATCH($B329,Productos!$A:$A,0)),""))</f>
        <v>Lácteos</v>
      </c>
    </row>
    <row r="330" spans="1:12" ht="15" customHeight="1" x14ac:dyDescent="0.3">
      <c r="A330" s="51">
        <v>46230</v>
      </c>
      <c r="B330" s="52" t="s">
        <v>132</v>
      </c>
      <c r="C330" s="119" t="str">
        <f>IF($B330="","",IFERROR(INDEX(Productos!$B:$B,MATCH($B330,Productos!$A:$A,0)),""))</f>
        <v>Queso campesino 500 g</v>
      </c>
      <c r="D330" s="53">
        <v>2</v>
      </c>
      <c r="E330" s="120">
        <f>IF($B330="","",IFERROR(INDEX(Productos!$F:$F,MATCH($B330,Productos!$A:$A,0)),0))</f>
        <v>13500</v>
      </c>
      <c r="F330" s="120">
        <f t="shared" si="15"/>
        <v>27000</v>
      </c>
      <c r="G330" s="120">
        <f>IF($B330="","",IFERROR(INDEX(Productos!$E:$E,MATCH($B330,Productos!$A:$A,0)),0))</f>
        <v>9800</v>
      </c>
      <c r="H330" s="120">
        <f t="shared" si="16"/>
        <v>19600</v>
      </c>
      <c r="I330" s="120">
        <f t="shared" si="17"/>
        <v>7400</v>
      </c>
      <c r="J330" s="52" t="s">
        <v>104</v>
      </c>
      <c r="K330" s="52" t="s">
        <v>79</v>
      </c>
      <c r="L330" s="119" t="str">
        <f>IF($B330="","",IFERROR(INDEX(Productos!$C:$C,MATCH($B330,Productos!$A:$A,0)),""))</f>
        <v>Lácteos</v>
      </c>
    </row>
    <row r="331" spans="1:12" ht="15" customHeight="1" x14ac:dyDescent="0.3">
      <c r="A331" s="51">
        <v>46230</v>
      </c>
      <c r="B331" s="52" t="s">
        <v>134</v>
      </c>
      <c r="C331" s="119" t="str">
        <f>IF($B331="","",IFERROR(INDEX(Productos!$B:$B,MATCH($B331,Productos!$A:$A,0)),""))</f>
        <v>Yogur 1 L</v>
      </c>
      <c r="D331" s="53">
        <v>1</v>
      </c>
      <c r="E331" s="120">
        <f>IF($B331="","",IFERROR(INDEX(Productos!$F:$F,MATCH($B331,Productos!$A:$A,0)),0))</f>
        <v>7200</v>
      </c>
      <c r="F331" s="120">
        <f t="shared" si="15"/>
        <v>7200</v>
      </c>
      <c r="G331" s="120">
        <f>IF($B331="","",IFERROR(INDEX(Productos!$E:$E,MATCH($B331,Productos!$A:$A,0)),0))</f>
        <v>5400</v>
      </c>
      <c r="H331" s="120">
        <f t="shared" si="16"/>
        <v>5400</v>
      </c>
      <c r="I331" s="120">
        <f t="shared" si="17"/>
        <v>1800</v>
      </c>
      <c r="J331" s="52" t="s">
        <v>104</v>
      </c>
      <c r="K331" s="52" t="s">
        <v>80</v>
      </c>
      <c r="L331" s="119" t="str">
        <f>IF($B331="","",IFERROR(INDEX(Productos!$C:$C,MATCH($B331,Productos!$A:$A,0)),""))</f>
        <v>Lácteos</v>
      </c>
    </row>
    <row r="332" spans="1:12" ht="15" customHeight="1" x14ac:dyDescent="0.3">
      <c r="A332" s="51">
        <v>46230</v>
      </c>
      <c r="B332" s="52" t="s">
        <v>136</v>
      </c>
      <c r="C332" s="119" t="str">
        <f>IF($B332="","",IFERROR(INDEX(Productos!$B:$B,MATCH($B332,Productos!$A:$A,0)),""))</f>
        <v>Gaseosa 1,5 L</v>
      </c>
      <c r="D332" s="53">
        <v>1</v>
      </c>
      <c r="E332" s="120">
        <f>IF($B332="","",IFERROR(INDEX(Productos!$F:$F,MATCH($B332,Productos!$A:$A,0)),0))</f>
        <v>4500</v>
      </c>
      <c r="F332" s="120">
        <f t="shared" si="15"/>
        <v>4500</v>
      </c>
      <c r="G332" s="120">
        <f>IF($B332="","",IFERROR(INDEX(Productos!$E:$E,MATCH($B332,Productos!$A:$A,0)),0))</f>
        <v>3400</v>
      </c>
      <c r="H332" s="120">
        <f t="shared" si="16"/>
        <v>3400</v>
      </c>
      <c r="I332" s="120">
        <f t="shared" si="17"/>
        <v>1100</v>
      </c>
      <c r="J332" s="52" t="s">
        <v>104</v>
      </c>
      <c r="K332" s="52" t="s">
        <v>80</v>
      </c>
      <c r="L332" s="119" t="str">
        <f>IF($B332="","",IFERROR(INDEX(Productos!$C:$C,MATCH($B332,Productos!$A:$A,0)),""))</f>
        <v>Bebidas</v>
      </c>
    </row>
    <row r="333" spans="1:12" ht="15" customHeight="1" x14ac:dyDescent="0.3">
      <c r="A333" s="51">
        <v>46230</v>
      </c>
      <c r="B333" s="52" t="s">
        <v>139</v>
      </c>
      <c r="C333" s="119" t="str">
        <f>IF($B333="","",IFERROR(INDEX(Productos!$B:$B,MATCH($B333,Productos!$A:$A,0)),""))</f>
        <v>Agua 600 ml</v>
      </c>
      <c r="D333" s="53">
        <v>2</v>
      </c>
      <c r="E333" s="120">
        <f>IF($B333="","",IFERROR(INDEX(Productos!$F:$F,MATCH($B333,Productos!$A:$A,0)),0))</f>
        <v>1800</v>
      </c>
      <c r="F333" s="120">
        <f t="shared" si="15"/>
        <v>3600</v>
      </c>
      <c r="G333" s="120">
        <f>IF($B333="","",IFERROR(INDEX(Productos!$E:$E,MATCH($B333,Productos!$A:$A,0)),0))</f>
        <v>1200</v>
      </c>
      <c r="H333" s="120">
        <f t="shared" si="16"/>
        <v>2400</v>
      </c>
      <c r="I333" s="120">
        <f t="shared" si="17"/>
        <v>1200</v>
      </c>
      <c r="J333" s="52" t="s">
        <v>104</v>
      </c>
      <c r="K333" s="52" t="s">
        <v>78</v>
      </c>
      <c r="L333" s="119" t="str">
        <f>IF($B333="","",IFERROR(INDEX(Productos!$C:$C,MATCH($B333,Productos!$A:$A,0)),""))</f>
        <v>Bebidas</v>
      </c>
    </row>
    <row r="334" spans="1:12" ht="15" customHeight="1" x14ac:dyDescent="0.3">
      <c r="A334" s="51">
        <v>46230</v>
      </c>
      <c r="B334" s="52" t="s">
        <v>141</v>
      </c>
      <c r="C334" s="119" t="str">
        <f>IF($B334="","",IFERROR(INDEX(Productos!$B:$B,MATCH($B334,Productos!$A:$A,0)),""))</f>
        <v>Cerveza lata 330 ml</v>
      </c>
      <c r="D334" s="53">
        <v>1</v>
      </c>
      <c r="E334" s="120">
        <f>IF($B334="","",IFERROR(INDEX(Productos!$F:$F,MATCH($B334,Productos!$A:$A,0)),0))</f>
        <v>3800</v>
      </c>
      <c r="F334" s="120">
        <f t="shared" si="15"/>
        <v>3800</v>
      </c>
      <c r="G334" s="120">
        <f>IF($B334="","",IFERROR(INDEX(Productos!$E:$E,MATCH($B334,Productos!$A:$A,0)),0))</f>
        <v>2600</v>
      </c>
      <c r="H334" s="120">
        <f t="shared" si="16"/>
        <v>2600</v>
      </c>
      <c r="I334" s="120">
        <f t="shared" si="17"/>
        <v>1200</v>
      </c>
      <c r="J334" s="52" t="s">
        <v>104</v>
      </c>
      <c r="K334" s="52" t="s">
        <v>78</v>
      </c>
      <c r="L334" s="119" t="str">
        <f>IF($B334="","",IFERROR(INDEX(Productos!$C:$C,MATCH($B334,Productos!$A:$A,0)),""))</f>
        <v>Bebidas</v>
      </c>
    </row>
    <row r="335" spans="1:12" ht="15" customHeight="1" x14ac:dyDescent="0.3">
      <c r="A335" s="51">
        <v>46230</v>
      </c>
      <c r="B335" s="52" t="s">
        <v>143</v>
      </c>
      <c r="C335" s="119" t="str">
        <f>IF($B335="","",IFERROR(INDEX(Productos!$B:$B,MATCH($B335,Productos!$A:$A,0)),""))</f>
        <v>Pan tajado 500 g</v>
      </c>
      <c r="D335" s="53">
        <v>1</v>
      </c>
      <c r="E335" s="120">
        <f>IF($B335="","",IFERROR(INDEX(Productos!$F:$F,MATCH($B335,Productos!$A:$A,0)),0))</f>
        <v>5200</v>
      </c>
      <c r="F335" s="120">
        <f t="shared" si="15"/>
        <v>5200</v>
      </c>
      <c r="G335" s="120">
        <f>IF($B335="","",IFERROR(INDEX(Productos!$E:$E,MATCH($B335,Productos!$A:$A,0)),0))</f>
        <v>3900</v>
      </c>
      <c r="H335" s="120">
        <f t="shared" si="16"/>
        <v>3900</v>
      </c>
      <c r="I335" s="120">
        <f t="shared" si="17"/>
        <v>1300</v>
      </c>
      <c r="J335" s="52" t="s">
        <v>108</v>
      </c>
      <c r="K335" s="52" t="s">
        <v>80</v>
      </c>
      <c r="L335" s="119" t="str">
        <f>IF($B335="","",IFERROR(INDEX(Productos!$C:$C,MATCH($B335,Productos!$A:$A,0)),""))</f>
        <v>Panadería</v>
      </c>
    </row>
    <row r="336" spans="1:12" ht="15" customHeight="1" x14ac:dyDescent="0.3">
      <c r="A336" s="51">
        <v>46230</v>
      </c>
      <c r="B336" s="52" t="s">
        <v>146</v>
      </c>
      <c r="C336" s="119" t="str">
        <f>IF($B336="","",IFERROR(INDEX(Productos!$B:$B,MATCH($B336,Productos!$A:$A,0)),""))</f>
        <v>Galletas surtidas</v>
      </c>
      <c r="D336" s="53">
        <v>3</v>
      </c>
      <c r="E336" s="120">
        <f>IF($B336="","",IFERROR(INDEX(Productos!$F:$F,MATCH($B336,Productos!$A:$A,0)),0))</f>
        <v>2700</v>
      </c>
      <c r="F336" s="120">
        <f t="shared" si="15"/>
        <v>8100</v>
      </c>
      <c r="G336" s="120">
        <f>IF($B336="","",IFERROR(INDEX(Productos!$E:$E,MATCH($B336,Productos!$A:$A,0)),0))</f>
        <v>1800</v>
      </c>
      <c r="H336" s="120">
        <f t="shared" si="16"/>
        <v>5400</v>
      </c>
      <c r="I336" s="120">
        <f t="shared" si="17"/>
        <v>2700</v>
      </c>
      <c r="J336" s="52" t="s">
        <v>102</v>
      </c>
      <c r="K336" s="52" t="s">
        <v>78</v>
      </c>
      <c r="L336" s="119" t="str">
        <f>IF($B336="","",IFERROR(INDEX(Productos!$C:$C,MATCH($B336,Productos!$A:$A,0)),""))</f>
        <v>Snacks</v>
      </c>
    </row>
    <row r="337" spans="1:12" ht="15" customHeight="1" x14ac:dyDescent="0.3">
      <c r="A337" s="51">
        <v>46230</v>
      </c>
      <c r="B337" s="52" t="s">
        <v>158</v>
      </c>
      <c r="C337" s="119" t="str">
        <f>IF($B337="","",IFERROR(INDEX(Productos!$B:$B,MATCH($B337,Productos!$A:$A,0)),""))</f>
        <v>Huevos AA x 12</v>
      </c>
      <c r="D337" s="53">
        <v>2</v>
      </c>
      <c r="E337" s="120">
        <f>IF($B337="","",IFERROR(INDEX(Productos!$F:$F,MATCH($B337,Productos!$A:$A,0)),0))</f>
        <v>12000</v>
      </c>
      <c r="F337" s="120">
        <f t="shared" si="15"/>
        <v>24000</v>
      </c>
      <c r="G337" s="120">
        <f>IF($B337="","",IFERROR(INDEX(Productos!$E:$E,MATCH($B337,Productos!$A:$A,0)),0))</f>
        <v>9200</v>
      </c>
      <c r="H337" s="120">
        <f t="shared" si="16"/>
        <v>18400</v>
      </c>
      <c r="I337" s="120">
        <f t="shared" si="17"/>
        <v>5600</v>
      </c>
      <c r="J337" s="52" t="s">
        <v>104</v>
      </c>
      <c r="K337" s="52" t="s">
        <v>78</v>
      </c>
      <c r="L337" s="119" t="str">
        <f>IF($B337="","",IFERROR(INDEX(Productos!$C:$C,MATCH($B337,Productos!$A:$A,0)),""))</f>
        <v>Perecederos</v>
      </c>
    </row>
    <row r="338" spans="1:12" ht="15" customHeight="1" x14ac:dyDescent="0.3">
      <c r="A338" s="51">
        <v>46230</v>
      </c>
      <c r="B338" s="52" t="s">
        <v>161</v>
      </c>
      <c r="C338" s="119" t="str">
        <f>IF($B338="","",IFERROR(INDEX(Productos!$B:$B,MATCH($B338,Productos!$A:$A,0)),""))</f>
        <v>Pollo entero kg</v>
      </c>
      <c r="D338" s="53">
        <v>4</v>
      </c>
      <c r="E338" s="120">
        <f>IF($B338="","",IFERROR(INDEX(Productos!$F:$F,MATCH($B338,Productos!$A:$A,0)),0))</f>
        <v>14800</v>
      </c>
      <c r="F338" s="120">
        <f t="shared" si="15"/>
        <v>59200</v>
      </c>
      <c r="G338" s="120">
        <f>IF($B338="","",IFERROR(INDEX(Productos!$E:$E,MATCH($B338,Productos!$A:$A,0)),0))</f>
        <v>11500</v>
      </c>
      <c r="H338" s="120">
        <f t="shared" si="16"/>
        <v>46000</v>
      </c>
      <c r="I338" s="120">
        <f t="shared" si="17"/>
        <v>13200</v>
      </c>
      <c r="J338" s="52" t="s">
        <v>104</v>
      </c>
      <c r="K338" s="52" t="s">
        <v>80</v>
      </c>
      <c r="L338" s="119" t="str">
        <f>IF($B338="","",IFERROR(INDEX(Productos!$C:$C,MATCH($B338,Productos!$A:$A,0)),""))</f>
        <v>Perecederos</v>
      </c>
    </row>
    <row r="339" spans="1:12" ht="15" customHeight="1" x14ac:dyDescent="0.3">
      <c r="A339" s="51">
        <v>46230</v>
      </c>
      <c r="B339" s="52" t="s">
        <v>163</v>
      </c>
      <c r="C339" s="119" t="str">
        <f>IF($B339="","",IFERROR(INDEX(Productos!$B:$B,MATCH($B339,Productos!$A:$A,0)),""))</f>
        <v>Tomate kg</v>
      </c>
      <c r="D339" s="53">
        <v>3</v>
      </c>
      <c r="E339" s="120">
        <f>IF($B339="","",IFERROR(INDEX(Productos!$F:$F,MATCH($B339,Productos!$A:$A,0)),0))</f>
        <v>4200</v>
      </c>
      <c r="F339" s="120">
        <f t="shared" si="15"/>
        <v>12600</v>
      </c>
      <c r="G339" s="120">
        <f>IF($B339="","",IFERROR(INDEX(Productos!$E:$E,MATCH($B339,Productos!$A:$A,0)),0))</f>
        <v>2800</v>
      </c>
      <c r="H339" s="120">
        <f t="shared" si="16"/>
        <v>8400</v>
      </c>
      <c r="I339" s="120">
        <f t="shared" si="17"/>
        <v>4200</v>
      </c>
      <c r="J339" s="52" t="s">
        <v>104</v>
      </c>
      <c r="K339" s="52" t="s">
        <v>78</v>
      </c>
      <c r="L339" s="119" t="str">
        <f>IF($B339="","",IFERROR(INDEX(Productos!$C:$C,MATCH($B339,Productos!$A:$A,0)),""))</f>
        <v>Frutas y verduras</v>
      </c>
    </row>
    <row r="340" spans="1:12" ht="15" customHeight="1" x14ac:dyDescent="0.3">
      <c r="A340" s="51">
        <v>46230</v>
      </c>
      <c r="B340" s="52" t="s">
        <v>166</v>
      </c>
      <c r="C340" s="119" t="str">
        <f>IF($B340="","",IFERROR(INDEX(Productos!$B:$B,MATCH($B340,Productos!$A:$A,0)),""))</f>
        <v>Papa kg</v>
      </c>
      <c r="D340" s="53">
        <v>1</v>
      </c>
      <c r="E340" s="120">
        <f>IF($B340="","",IFERROR(INDEX(Productos!$F:$F,MATCH($B340,Productos!$A:$A,0)),0))</f>
        <v>2800</v>
      </c>
      <c r="F340" s="120">
        <f t="shared" si="15"/>
        <v>2800</v>
      </c>
      <c r="G340" s="120">
        <f>IF($B340="","",IFERROR(INDEX(Productos!$E:$E,MATCH($B340,Productos!$A:$A,0)),0))</f>
        <v>1900</v>
      </c>
      <c r="H340" s="120">
        <f t="shared" si="16"/>
        <v>1900</v>
      </c>
      <c r="I340" s="120">
        <f t="shared" si="17"/>
        <v>900</v>
      </c>
      <c r="J340" s="52" t="s">
        <v>108</v>
      </c>
      <c r="K340" s="52" t="s">
        <v>81</v>
      </c>
      <c r="L340" s="119" t="str">
        <f>IF($B340="","",IFERROR(INDEX(Productos!$C:$C,MATCH($B340,Productos!$A:$A,0)),""))</f>
        <v>Frutas y verduras</v>
      </c>
    </row>
    <row r="341" spans="1:12" ht="15" customHeight="1" x14ac:dyDescent="0.3">
      <c r="A341" s="51">
        <v>46230</v>
      </c>
      <c r="B341" s="52" t="s">
        <v>168</v>
      </c>
      <c r="C341" s="119" t="str">
        <f>IF($B341="","",IFERROR(INDEX(Productos!$B:$B,MATCH($B341,Productos!$A:$A,0)),""))</f>
        <v>Banano kg</v>
      </c>
      <c r="D341" s="53">
        <v>1</v>
      </c>
      <c r="E341" s="120">
        <f>IF($B341="","",IFERROR(INDEX(Productos!$F:$F,MATCH($B341,Productos!$A:$A,0)),0))</f>
        <v>3400</v>
      </c>
      <c r="F341" s="120">
        <f t="shared" si="15"/>
        <v>3400</v>
      </c>
      <c r="G341" s="120">
        <f>IF($B341="","",IFERROR(INDEX(Productos!$E:$E,MATCH($B341,Productos!$A:$A,0)),0))</f>
        <v>2200</v>
      </c>
      <c r="H341" s="120">
        <f t="shared" si="16"/>
        <v>2200</v>
      </c>
      <c r="I341" s="120">
        <f t="shared" si="17"/>
        <v>1200</v>
      </c>
      <c r="J341" s="52" t="s">
        <v>102</v>
      </c>
      <c r="K341" s="52" t="s">
        <v>79</v>
      </c>
      <c r="L341" s="119" t="str">
        <f>IF($B341="","",IFERROR(INDEX(Productos!$C:$C,MATCH($B341,Productos!$A:$A,0)),""))</f>
        <v>Frutas y verduras</v>
      </c>
    </row>
    <row r="342" spans="1:12" ht="15" customHeight="1" x14ac:dyDescent="0.3">
      <c r="A342" s="51">
        <v>46231</v>
      </c>
      <c r="B342" s="52" t="s">
        <v>126</v>
      </c>
      <c r="C342" s="119" t="str">
        <f>IF($B342="","",IFERROR(INDEX(Productos!$B:$B,MATCH($B342,Productos!$A:$A,0)),""))</f>
        <v>Panela x 500 g</v>
      </c>
      <c r="D342" s="53">
        <v>3</v>
      </c>
      <c r="E342" s="120">
        <f>IF($B342="","",IFERROR(INDEX(Productos!$F:$F,MATCH($B342,Productos!$A:$A,0)),0))</f>
        <v>2900</v>
      </c>
      <c r="F342" s="120">
        <f t="shared" si="15"/>
        <v>8700</v>
      </c>
      <c r="G342" s="120">
        <f>IF($B342="","",IFERROR(INDEX(Productos!$E:$E,MATCH($B342,Productos!$A:$A,0)),0))</f>
        <v>2100</v>
      </c>
      <c r="H342" s="120">
        <f t="shared" si="16"/>
        <v>6300</v>
      </c>
      <c r="I342" s="120">
        <f t="shared" si="17"/>
        <v>2400</v>
      </c>
      <c r="J342" s="52" t="s">
        <v>106</v>
      </c>
      <c r="K342" s="52" t="s">
        <v>81</v>
      </c>
      <c r="L342" s="119" t="str">
        <f>IF($B342="","",IFERROR(INDEX(Productos!$C:$C,MATCH($B342,Productos!$A:$A,0)),""))</f>
        <v>Granos y abarrotes</v>
      </c>
    </row>
    <row r="343" spans="1:12" ht="15" customHeight="1" x14ac:dyDescent="0.3">
      <c r="A343" s="51">
        <v>46231</v>
      </c>
      <c r="B343" s="52" t="s">
        <v>134</v>
      </c>
      <c r="C343" s="119" t="str">
        <f>IF($B343="","",IFERROR(INDEX(Productos!$B:$B,MATCH($B343,Productos!$A:$A,0)),""))</f>
        <v>Yogur 1 L</v>
      </c>
      <c r="D343" s="53">
        <v>2</v>
      </c>
      <c r="E343" s="120">
        <f>IF($B343="","",IFERROR(INDEX(Productos!$F:$F,MATCH($B343,Productos!$A:$A,0)),0))</f>
        <v>7200</v>
      </c>
      <c r="F343" s="120">
        <f t="shared" si="15"/>
        <v>14400</v>
      </c>
      <c r="G343" s="120">
        <f>IF($B343="","",IFERROR(INDEX(Productos!$E:$E,MATCH($B343,Productos!$A:$A,0)),0))</f>
        <v>5400</v>
      </c>
      <c r="H343" s="120">
        <f t="shared" si="16"/>
        <v>10800</v>
      </c>
      <c r="I343" s="120">
        <f t="shared" si="17"/>
        <v>3600</v>
      </c>
      <c r="J343" s="52" t="s">
        <v>102</v>
      </c>
      <c r="K343" s="52" t="s">
        <v>78</v>
      </c>
      <c r="L343" s="119" t="str">
        <f>IF($B343="","",IFERROR(INDEX(Productos!$C:$C,MATCH($B343,Productos!$A:$A,0)),""))</f>
        <v>Lácteos</v>
      </c>
    </row>
    <row r="344" spans="1:12" ht="15" customHeight="1" x14ac:dyDescent="0.3">
      <c r="A344" s="51">
        <v>46231</v>
      </c>
      <c r="B344" s="52" t="s">
        <v>136</v>
      </c>
      <c r="C344" s="119" t="str">
        <f>IF($B344="","",IFERROR(INDEX(Productos!$B:$B,MATCH($B344,Productos!$A:$A,0)),""))</f>
        <v>Gaseosa 1,5 L</v>
      </c>
      <c r="D344" s="53">
        <v>1</v>
      </c>
      <c r="E344" s="120">
        <f>IF($B344="","",IFERROR(INDEX(Productos!$F:$F,MATCH($B344,Productos!$A:$A,0)),0))</f>
        <v>4500</v>
      </c>
      <c r="F344" s="120">
        <f t="shared" si="15"/>
        <v>4500</v>
      </c>
      <c r="G344" s="120">
        <f>IF($B344="","",IFERROR(INDEX(Productos!$E:$E,MATCH($B344,Productos!$A:$A,0)),0))</f>
        <v>3400</v>
      </c>
      <c r="H344" s="120">
        <f t="shared" si="16"/>
        <v>3400</v>
      </c>
      <c r="I344" s="120">
        <f t="shared" si="17"/>
        <v>1100</v>
      </c>
      <c r="J344" s="52" t="s">
        <v>106</v>
      </c>
      <c r="K344" s="52" t="s">
        <v>79</v>
      </c>
      <c r="L344" s="119" t="str">
        <f>IF($B344="","",IFERROR(INDEX(Productos!$C:$C,MATCH($B344,Productos!$A:$A,0)),""))</f>
        <v>Bebidas</v>
      </c>
    </row>
    <row r="345" spans="1:12" ht="15" customHeight="1" x14ac:dyDescent="0.3">
      <c r="A345" s="51">
        <v>46231</v>
      </c>
      <c r="B345" s="52" t="s">
        <v>139</v>
      </c>
      <c r="C345" s="119" t="str">
        <f>IF($B345="","",IFERROR(INDEX(Productos!$B:$B,MATCH($B345,Productos!$A:$A,0)),""))</f>
        <v>Agua 600 ml</v>
      </c>
      <c r="D345" s="53">
        <v>2</v>
      </c>
      <c r="E345" s="120">
        <f>IF($B345="","",IFERROR(INDEX(Productos!$F:$F,MATCH($B345,Productos!$A:$A,0)),0))</f>
        <v>1800</v>
      </c>
      <c r="F345" s="120">
        <f t="shared" si="15"/>
        <v>3600</v>
      </c>
      <c r="G345" s="120">
        <f>IF($B345="","",IFERROR(INDEX(Productos!$E:$E,MATCH($B345,Productos!$A:$A,0)),0))</f>
        <v>1200</v>
      </c>
      <c r="H345" s="120">
        <f t="shared" si="16"/>
        <v>2400</v>
      </c>
      <c r="I345" s="120">
        <f t="shared" si="17"/>
        <v>1200</v>
      </c>
      <c r="J345" s="52" t="s">
        <v>102</v>
      </c>
      <c r="K345" s="52" t="s">
        <v>78</v>
      </c>
      <c r="L345" s="119" t="str">
        <f>IF($B345="","",IFERROR(INDEX(Productos!$C:$C,MATCH($B345,Productos!$A:$A,0)),""))</f>
        <v>Bebidas</v>
      </c>
    </row>
    <row r="346" spans="1:12" ht="15" customHeight="1" x14ac:dyDescent="0.3">
      <c r="A346" s="51">
        <v>46231</v>
      </c>
      <c r="B346" s="52" t="s">
        <v>141</v>
      </c>
      <c r="C346" s="119" t="str">
        <f>IF($B346="","",IFERROR(INDEX(Productos!$B:$B,MATCH($B346,Productos!$A:$A,0)),""))</f>
        <v>Cerveza lata 330 ml</v>
      </c>
      <c r="D346" s="53">
        <v>1</v>
      </c>
      <c r="E346" s="120">
        <f>IF($B346="","",IFERROR(INDEX(Productos!$F:$F,MATCH($B346,Productos!$A:$A,0)),0))</f>
        <v>3800</v>
      </c>
      <c r="F346" s="120">
        <f t="shared" si="15"/>
        <v>3800</v>
      </c>
      <c r="G346" s="120">
        <f>IF($B346="","",IFERROR(INDEX(Productos!$E:$E,MATCH($B346,Productos!$A:$A,0)),0))</f>
        <v>2600</v>
      </c>
      <c r="H346" s="120">
        <f t="shared" si="16"/>
        <v>2600</v>
      </c>
      <c r="I346" s="120">
        <f t="shared" si="17"/>
        <v>1200</v>
      </c>
      <c r="J346" s="52" t="s">
        <v>102</v>
      </c>
      <c r="K346" s="52" t="s">
        <v>78</v>
      </c>
      <c r="L346" s="119" t="str">
        <f>IF($B346="","",IFERROR(INDEX(Productos!$C:$C,MATCH($B346,Productos!$A:$A,0)),""))</f>
        <v>Bebidas</v>
      </c>
    </row>
    <row r="347" spans="1:12" ht="15" customHeight="1" x14ac:dyDescent="0.3">
      <c r="A347" s="51">
        <v>46231</v>
      </c>
      <c r="B347" s="52" t="s">
        <v>146</v>
      </c>
      <c r="C347" s="119" t="str">
        <f>IF($B347="","",IFERROR(INDEX(Productos!$B:$B,MATCH($B347,Productos!$A:$A,0)),""))</f>
        <v>Galletas surtidas</v>
      </c>
      <c r="D347" s="53">
        <v>1</v>
      </c>
      <c r="E347" s="120">
        <f>IF($B347="","",IFERROR(INDEX(Productos!$F:$F,MATCH($B347,Productos!$A:$A,0)),0))</f>
        <v>2700</v>
      </c>
      <c r="F347" s="120">
        <f t="shared" si="15"/>
        <v>2700</v>
      </c>
      <c r="G347" s="120">
        <f>IF($B347="","",IFERROR(INDEX(Productos!$E:$E,MATCH($B347,Productos!$A:$A,0)),0))</f>
        <v>1800</v>
      </c>
      <c r="H347" s="120">
        <f t="shared" si="16"/>
        <v>1800</v>
      </c>
      <c r="I347" s="120">
        <f t="shared" si="17"/>
        <v>900</v>
      </c>
      <c r="J347" s="52" t="s">
        <v>104</v>
      </c>
      <c r="K347" s="52" t="s">
        <v>78</v>
      </c>
      <c r="L347" s="119" t="str">
        <f>IF($B347="","",IFERROR(INDEX(Productos!$C:$C,MATCH($B347,Productos!$A:$A,0)),""))</f>
        <v>Snacks</v>
      </c>
    </row>
    <row r="348" spans="1:12" ht="15" customHeight="1" x14ac:dyDescent="0.3">
      <c r="A348" s="51">
        <v>46231</v>
      </c>
      <c r="B348" s="52" t="s">
        <v>149</v>
      </c>
      <c r="C348" s="119" t="str">
        <f>IF($B348="","",IFERROR(INDEX(Productos!$B:$B,MATCH($B348,Productos!$A:$A,0)),""))</f>
        <v>Papas fritas 105 g</v>
      </c>
      <c r="D348" s="53">
        <v>3</v>
      </c>
      <c r="E348" s="120">
        <f>IF($B348="","",IFERROR(INDEX(Productos!$F:$F,MATCH($B348,Productos!$A:$A,0)),0))</f>
        <v>4800</v>
      </c>
      <c r="F348" s="120">
        <f t="shared" si="15"/>
        <v>14400</v>
      </c>
      <c r="G348" s="120">
        <f>IF($B348="","",IFERROR(INDEX(Productos!$E:$E,MATCH($B348,Productos!$A:$A,0)),0))</f>
        <v>3200</v>
      </c>
      <c r="H348" s="120">
        <f t="shared" si="16"/>
        <v>9600</v>
      </c>
      <c r="I348" s="120">
        <f t="shared" si="17"/>
        <v>4800</v>
      </c>
      <c r="J348" s="52" t="s">
        <v>104</v>
      </c>
      <c r="K348" s="52" t="s">
        <v>78</v>
      </c>
      <c r="L348" s="119" t="str">
        <f>IF($B348="","",IFERROR(INDEX(Productos!$C:$C,MATCH($B348,Productos!$A:$A,0)),""))</f>
        <v>Snacks</v>
      </c>
    </row>
    <row r="349" spans="1:12" ht="15" customHeight="1" x14ac:dyDescent="0.3">
      <c r="A349" s="51">
        <v>46231</v>
      </c>
      <c r="B349" s="52" t="s">
        <v>154</v>
      </c>
      <c r="C349" s="119" t="str">
        <f>IF($B349="","",IFERROR(INDEX(Productos!$B:$B,MATCH($B349,Productos!$A:$A,0)),""))</f>
        <v>Jabón de barra</v>
      </c>
      <c r="D349" s="53">
        <v>1</v>
      </c>
      <c r="E349" s="120">
        <f>IF($B349="","",IFERROR(INDEX(Productos!$F:$F,MATCH($B349,Productos!$A:$A,0)),0))</f>
        <v>2800</v>
      </c>
      <c r="F349" s="120">
        <f t="shared" si="15"/>
        <v>2800</v>
      </c>
      <c r="G349" s="120">
        <f>IF($B349="","",IFERROR(INDEX(Productos!$E:$E,MATCH($B349,Productos!$A:$A,0)),0))</f>
        <v>1900</v>
      </c>
      <c r="H349" s="120">
        <f t="shared" si="16"/>
        <v>1900</v>
      </c>
      <c r="I349" s="120">
        <f t="shared" si="17"/>
        <v>900</v>
      </c>
      <c r="J349" s="52" t="s">
        <v>106</v>
      </c>
      <c r="K349" s="52" t="s">
        <v>78</v>
      </c>
      <c r="L349" s="119" t="str">
        <f>IF($B349="","",IFERROR(INDEX(Productos!$C:$C,MATCH($B349,Productos!$A:$A,0)),""))</f>
        <v>Aseo personal</v>
      </c>
    </row>
    <row r="350" spans="1:12" ht="15" customHeight="1" x14ac:dyDescent="0.3">
      <c r="A350" s="51">
        <v>46231</v>
      </c>
      <c r="B350" s="52" t="s">
        <v>158</v>
      </c>
      <c r="C350" s="119" t="str">
        <f>IF($B350="","",IFERROR(INDEX(Productos!$B:$B,MATCH($B350,Productos!$A:$A,0)),""))</f>
        <v>Huevos AA x 12</v>
      </c>
      <c r="D350" s="53">
        <v>3</v>
      </c>
      <c r="E350" s="120">
        <f>IF($B350="","",IFERROR(INDEX(Productos!$F:$F,MATCH($B350,Productos!$A:$A,0)),0))</f>
        <v>12000</v>
      </c>
      <c r="F350" s="120">
        <f t="shared" si="15"/>
        <v>36000</v>
      </c>
      <c r="G350" s="120">
        <f>IF($B350="","",IFERROR(INDEX(Productos!$E:$E,MATCH($B350,Productos!$A:$A,0)),0))</f>
        <v>9200</v>
      </c>
      <c r="H350" s="120">
        <f t="shared" si="16"/>
        <v>27600</v>
      </c>
      <c r="I350" s="120">
        <f t="shared" si="17"/>
        <v>8400</v>
      </c>
      <c r="J350" s="52" t="s">
        <v>104</v>
      </c>
      <c r="K350" s="52" t="s">
        <v>78</v>
      </c>
      <c r="L350" s="119" t="str">
        <f>IF($B350="","",IFERROR(INDEX(Productos!$C:$C,MATCH($B350,Productos!$A:$A,0)),""))</f>
        <v>Perecederos</v>
      </c>
    </row>
    <row r="351" spans="1:12" ht="15" customHeight="1" x14ac:dyDescent="0.3">
      <c r="A351" s="51">
        <v>46231</v>
      </c>
      <c r="B351" s="52" t="s">
        <v>163</v>
      </c>
      <c r="C351" s="119" t="str">
        <f>IF($B351="","",IFERROR(INDEX(Productos!$B:$B,MATCH($B351,Productos!$A:$A,0)),""))</f>
        <v>Tomate kg</v>
      </c>
      <c r="D351" s="53">
        <v>3</v>
      </c>
      <c r="E351" s="120">
        <f>IF($B351="","",IFERROR(INDEX(Productos!$F:$F,MATCH($B351,Productos!$A:$A,0)),0))</f>
        <v>4200</v>
      </c>
      <c r="F351" s="120">
        <f t="shared" si="15"/>
        <v>12600</v>
      </c>
      <c r="G351" s="120">
        <f>IF($B351="","",IFERROR(INDEX(Productos!$E:$E,MATCH($B351,Productos!$A:$A,0)),0))</f>
        <v>2800</v>
      </c>
      <c r="H351" s="120">
        <f t="shared" si="16"/>
        <v>8400</v>
      </c>
      <c r="I351" s="120">
        <f t="shared" si="17"/>
        <v>4200</v>
      </c>
      <c r="J351" s="52" t="s">
        <v>102</v>
      </c>
      <c r="K351" s="52" t="s">
        <v>79</v>
      </c>
      <c r="L351" s="119" t="str">
        <f>IF($B351="","",IFERROR(INDEX(Productos!$C:$C,MATCH($B351,Productos!$A:$A,0)),""))</f>
        <v>Frutas y verduras</v>
      </c>
    </row>
    <row r="352" spans="1:12" ht="15" customHeight="1" x14ac:dyDescent="0.3">
      <c r="A352" s="51">
        <v>46231</v>
      </c>
      <c r="B352" s="52" t="s">
        <v>166</v>
      </c>
      <c r="C352" s="119" t="str">
        <f>IF($B352="","",IFERROR(INDEX(Productos!$B:$B,MATCH($B352,Productos!$A:$A,0)),""))</f>
        <v>Papa kg</v>
      </c>
      <c r="D352" s="53">
        <v>1</v>
      </c>
      <c r="E352" s="120">
        <f>IF($B352="","",IFERROR(INDEX(Productos!$F:$F,MATCH($B352,Productos!$A:$A,0)),0))</f>
        <v>2800</v>
      </c>
      <c r="F352" s="120">
        <f t="shared" si="15"/>
        <v>2800</v>
      </c>
      <c r="G352" s="120">
        <f>IF($B352="","",IFERROR(INDEX(Productos!$E:$E,MATCH($B352,Productos!$A:$A,0)),0))</f>
        <v>1900</v>
      </c>
      <c r="H352" s="120">
        <f t="shared" si="16"/>
        <v>1900</v>
      </c>
      <c r="I352" s="120">
        <f t="shared" si="17"/>
        <v>900</v>
      </c>
      <c r="J352" s="52" t="s">
        <v>108</v>
      </c>
      <c r="K352" s="52" t="s">
        <v>78</v>
      </c>
      <c r="L352" s="119" t="str">
        <f>IF($B352="","",IFERROR(INDEX(Productos!$C:$C,MATCH($B352,Productos!$A:$A,0)),""))</f>
        <v>Frutas y verduras</v>
      </c>
    </row>
    <row r="353" spans="1:12" ht="15" customHeight="1" x14ac:dyDescent="0.3">
      <c r="A353" s="51">
        <v>46231</v>
      </c>
      <c r="B353" s="52" t="s">
        <v>168</v>
      </c>
      <c r="C353" s="119" t="str">
        <f>IF($B353="","",IFERROR(INDEX(Productos!$B:$B,MATCH($B353,Productos!$A:$A,0)),""))</f>
        <v>Banano kg</v>
      </c>
      <c r="D353" s="53">
        <v>2</v>
      </c>
      <c r="E353" s="120">
        <f>IF($B353="","",IFERROR(INDEX(Productos!$F:$F,MATCH($B353,Productos!$A:$A,0)),0))</f>
        <v>3400</v>
      </c>
      <c r="F353" s="120">
        <f t="shared" si="15"/>
        <v>6800</v>
      </c>
      <c r="G353" s="120">
        <f>IF($B353="","",IFERROR(INDEX(Productos!$E:$E,MATCH($B353,Productos!$A:$A,0)),0))</f>
        <v>2200</v>
      </c>
      <c r="H353" s="120">
        <f t="shared" si="16"/>
        <v>4400</v>
      </c>
      <c r="I353" s="120">
        <f t="shared" si="17"/>
        <v>2400</v>
      </c>
      <c r="J353" s="52" t="s">
        <v>104</v>
      </c>
      <c r="K353" s="52" t="s">
        <v>79</v>
      </c>
      <c r="L353" s="119" t="str">
        <f>IF($B353="","",IFERROR(INDEX(Productos!$C:$C,MATCH($B353,Productos!$A:$A,0)),""))</f>
        <v>Frutas y verduras</v>
      </c>
    </row>
    <row r="354" spans="1:12" ht="15" customHeight="1" x14ac:dyDescent="0.3">
      <c r="A354" s="51">
        <v>46232</v>
      </c>
      <c r="B354" s="52" t="s">
        <v>121</v>
      </c>
      <c r="C354" s="119" t="str">
        <f>IF($B354="","",IFERROR(INDEX(Productos!$B:$B,MATCH($B354,Productos!$A:$A,0)),""))</f>
        <v>Arroz x 500 g</v>
      </c>
      <c r="D354" s="53">
        <v>4</v>
      </c>
      <c r="E354" s="120">
        <f>IF($B354="","",IFERROR(INDEX(Productos!$F:$F,MATCH($B354,Productos!$A:$A,0)),0))</f>
        <v>2600</v>
      </c>
      <c r="F354" s="120">
        <f t="shared" si="15"/>
        <v>10400</v>
      </c>
      <c r="G354" s="120">
        <f>IF($B354="","",IFERROR(INDEX(Productos!$E:$E,MATCH($B354,Productos!$A:$A,0)),0))</f>
        <v>1850</v>
      </c>
      <c r="H354" s="120">
        <f t="shared" si="16"/>
        <v>7400</v>
      </c>
      <c r="I354" s="120">
        <f t="shared" si="17"/>
        <v>3000</v>
      </c>
      <c r="J354" s="52" t="s">
        <v>106</v>
      </c>
      <c r="K354" s="52" t="s">
        <v>79</v>
      </c>
      <c r="L354" s="119" t="str">
        <f>IF($B354="","",IFERROR(INDEX(Productos!$C:$C,MATCH($B354,Productos!$A:$A,0)),""))</f>
        <v>Granos y abarrotes</v>
      </c>
    </row>
    <row r="355" spans="1:12" ht="15" customHeight="1" x14ac:dyDescent="0.3">
      <c r="A355" s="51">
        <v>46232</v>
      </c>
      <c r="B355" s="52" t="s">
        <v>124</v>
      </c>
      <c r="C355" s="119" t="str">
        <f>IF($B355="","",IFERROR(INDEX(Productos!$B:$B,MATCH($B355,Productos!$A:$A,0)),""))</f>
        <v>Aceite girasol 1 L</v>
      </c>
      <c r="D355" s="53">
        <v>3</v>
      </c>
      <c r="E355" s="120">
        <f>IF($B355="","",IFERROR(INDEX(Productos!$F:$F,MATCH($B355,Productos!$A:$A,0)),0))</f>
        <v>9500</v>
      </c>
      <c r="F355" s="120">
        <f t="shared" si="15"/>
        <v>28500</v>
      </c>
      <c r="G355" s="120">
        <f>IF($B355="","",IFERROR(INDEX(Productos!$E:$E,MATCH($B355,Productos!$A:$A,0)),0))</f>
        <v>7200</v>
      </c>
      <c r="H355" s="120">
        <f t="shared" si="16"/>
        <v>21600</v>
      </c>
      <c r="I355" s="120">
        <f t="shared" si="17"/>
        <v>6900</v>
      </c>
      <c r="J355" s="52" t="s">
        <v>106</v>
      </c>
      <c r="K355" s="52" t="s">
        <v>80</v>
      </c>
      <c r="L355" s="119" t="str">
        <f>IF($B355="","",IFERROR(INDEX(Productos!$C:$C,MATCH($B355,Productos!$A:$A,0)),""))</f>
        <v>Granos y abarrotes</v>
      </c>
    </row>
    <row r="356" spans="1:12" ht="15" customHeight="1" x14ac:dyDescent="0.3">
      <c r="A356" s="51">
        <v>46232</v>
      </c>
      <c r="B356" s="52" t="s">
        <v>126</v>
      </c>
      <c r="C356" s="119" t="str">
        <f>IF($B356="","",IFERROR(INDEX(Productos!$B:$B,MATCH($B356,Productos!$A:$A,0)),""))</f>
        <v>Panela x 500 g</v>
      </c>
      <c r="D356" s="53">
        <v>1</v>
      </c>
      <c r="E356" s="120">
        <f>IF($B356="","",IFERROR(INDEX(Productos!$F:$F,MATCH($B356,Productos!$A:$A,0)),0))</f>
        <v>2900</v>
      </c>
      <c r="F356" s="120">
        <f t="shared" si="15"/>
        <v>2900</v>
      </c>
      <c r="G356" s="120">
        <f>IF($B356="","",IFERROR(INDEX(Productos!$E:$E,MATCH($B356,Productos!$A:$A,0)),0))</f>
        <v>2100</v>
      </c>
      <c r="H356" s="120">
        <f t="shared" si="16"/>
        <v>2100</v>
      </c>
      <c r="I356" s="120">
        <f t="shared" si="17"/>
        <v>800</v>
      </c>
      <c r="J356" s="52" t="s">
        <v>106</v>
      </c>
      <c r="K356" s="52" t="s">
        <v>79</v>
      </c>
      <c r="L356" s="119" t="str">
        <f>IF($B356="","",IFERROR(INDEX(Productos!$C:$C,MATCH($B356,Productos!$A:$A,0)),""))</f>
        <v>Granos y abarrotes</v>
      </c>
    </row>
    <row r="357" spans="1:12" ht="15" customHeight="1" x14ac:dyDescent="0.3">
      <c r="A357" s="51">
        <v>46232</v>
      </c>
      <c r="B357" s="52" t="s">
        <v>132</v>
      </c>
      <c r="C357" s="119" t="str">
        <f>IF($B357="","",IFERROR(INDEX(Productos!$B:$B,MATCH($B357,Productos!$A:$A,0)),""))</f>
        <v>Queso campesino 500 g</v>
      </c>
      <c r="D357" s="53">
        <v>2</v>
      </c>
      <c r="E357" s="120">
        <f>IF($B357="","",IFERROR(INDEX(Productos!$F:$F,MATCH($B357,Productos!$A:$A,0)),0))</f>
        <v>13500</v>
      </c>
      <c r="F357" s="120">
        <f t="shared" si="15"/>
        <v>27000</v>
      </c>
      <c r="G357" s="120">
        <f>IF($B357="","",IFERROR(INDEX(Productos!$E:$E,MATCH($B357,Productos!$A:$A,0)),0))</f>
        <v>9800</v>
      </c>
      <c r="H357" s="120">
        <f t="shared" si="16"/>
        <v>19600</v>
      </c>
      <c r="I357" s="120">
        <f t="shared" si="17"/>
        <v>7400</v>
      </c>
      <c r="J357" s="52" t="s">
        <v>104</v>
      </c>
      <c r="K357" s="52" t="s">
        <v>78</v>
      </c>
      <c r="L357" s="119" t="str">
        <f>IF($B357="","",IFERROR(INDEX(Productos!$C:$C,MATCH($B357,Productos!$A:$A,0)),""))</f>
        <v>Lácteos</v>
      </c>
    </row>
    <row r="358" spans="1:12" ht="15" customHeight="1" x14ac:dyDescent="0.3">
      <c r="A358" s="51">
        <v>46232</v>
      </c>
      <c r="B358" s="52" t="s">
        <v>134</v>
      </c>
      <c r="C358" s="119" t="str">
        <f>IF($B358="","",IFERROR(INDEX(Productos!$B:$B,MATCH($B358,Productos!$A:$A,0)),""))</f>
        <v>Yogur 1 L</v>
      </c>
      <c r="D358" s="53">
        <v>1</v>
      </c>
      <c r="E358" s="120">
        <f>IF($B358="","",IFERROR(INDEX(Productos!$F:$F,MATCH($B358,Productos!$A:$A,0)),0))</f>
        <v>7200</v>
      </c>
      <c r="F358" s="120">
        <f t="shared" si="15"/>
        <v>7200</v>
      </c>
      <c r="G358" s="120">
        <f>IF($B358="","",IFERROR(INDEX(Productos!$E:$E,MATCH($B358,Productos!$A:$A,0)),0))</f>
        <v>5400</v>
      </c>
      <c r="H358" s="120">
        <f t="shared" si="16"/>
        <v>5400</v>
      </c>
      <c r="I358" s="120">
        <f t="shared" si="17"/>
        <v>1800</v>
      </c>
      <c r="J358" s="52" t="s">
        <v>106</v>
      </c>
      <c r="K358" s="52" t="s">
        <v>78</v>
      </c>
      <c r="L358" s="119" t="str">
        <f>IF($B358="","",IFERROR(INDEX(Productos!$C:$C,MATCH($B358,Productos!$A:$A,0)),""))</f>
        <v>Lácteos</v>
      </c>
    </row>
    <row r="359" spans="1:12" ht="15" customHeight="1" x14ac:dyDescent="0.3">
      <c r="A359" s="51">
        <v>46232</v>
      </c>
      <c r="B359" s="52" t="s">
        <v>136</v>
      </c>
      <c r="C359" s="119" t="str">
        <f>IF($B359="","",IFERROR(INDEX(Productos!$B:$B,MATCH($B359,Productos!$A:$A,0)),""))</f>
        <v>Gaseosa 1,5 L</v>
      </c>
      <c r="D359" s="53">
        <v>3</v>
      </c>
      <c r="E359" s="120">
        <f>IF($B359="","",IFERROR(INDEX(Productos!$F:$F,MATCH($B359,Productos!$A:$A,0)),0))</f>
        <v>4500</v>
      </c>
      <c r="F359" s="120">
        <f t="shared" si="15"/>
        <v>13500</v>
      </c>
      <c r="G359" s="120">
        <f>IF($B359="","",IFERROR(INDEX(Productos!$E:$E,MATCH($B359,Productos!$A:$A,0)),0))</f>
        <v>3400</v>
      </c>
      <c r="H359" s="120">
        <f t="shared" si="16"/>
        <v>10200</v>
      </c>
      <c r="I359" s="120">
        <f t="shared" si="17"/>
        <v>3300</v>
      </c>
      <c r="J359" s="52" t="s">
        <v>104</v>
      </c>
      <c r="K359" s="52" t="s">
        <v>78</v>
      </c>
      <c r="L359" s="119" t="str">
        <f>IF($B359="","",IFERROR(INDEX(Productos!$C:$C,MATCH($B359,Productos!$A:$A,0)),""))</f>
        <v>Bebidas</v>
      </c>
    </row>
    <row r="360" spans="1:12" ht="15" customHeight="1" x14ac:dyDescent="0.3">
      <c r="A360" s="51">
        <v>46232</v>
      </c>
      <c r="B360" s="52" t="s">
        <v>139</v>
      </c>
      <c r="C360" s="119" t="str">
        <f>IF($B360="","",IFERROR(INDEX(Productos!$B:$B,MATCH($B360,Productos!$A:$A,0)),""))</f>
        <v>Agua 600 ml</v>
      </c>
      <c r="D360" s="53">
        <v>3</v>
      </c>
      <c r="E360" s="120">
        <f>IF($B360="","",IFERROR(INDEX(Productos!$F:$F,MATCH($B360,Productos!$A:$A,0)),0))</f>
        <v>1800</v>
      </c>
      <c r="F360" s="120">
        <f t="shared" si="15"/>
        <v>5400</v>
      </c>
      <c r="G360" s="120">
        <f>IF($B360="","",IFERROR(INDEX(Productos!$E:$E,MATCH($B360,Productos!$A:$A,0)),0))</f>
        <v>1200</v>
      </c>
      <c r="H360" s="120">
        <f t="shared" si="16"/>
        <v>3600</v>
      </c>
      <c r="I360" s="120">
        <f t="shared" si="17"/>
        <v>1800</v>
      </c>
      <c r="J360" s="52" t="s">
        <v>106</v>
      </c>
      <c r="K360" s="52" t="s">
        <v>78</v>
      </c>
      <c r="L360" s="119" t="str">
        <f>IF($B360="","",IFERROR(INDEX(Productos!$C:$C,MATCH($B360,Productos!$A:$A,0)),""))</f>
        <v>Bebidas</v>
      </c>
    </row>
    <row r="361" spans="1:12" ht="15" customHeight="1" x14ac:dyDescent="0.3">
      <c r="A361" s="51">
        <v>46232</v>
      </c>
      <c r="B361" s="52" t="s">
        <v>141</v>
      </c>
      <c r="C361" s="119" t="str">
        <f>IF($B361="","",IFERROR(INDEX(Productos!$B:$B,MATCH($B361,Productos!$A:$A,0)),""))</f>
        <v>Cerveza lata 330 ml</v>
      </c>
      <c r="D361" s="53">
        <v>2</v>
      </c>
      <c r="E361" s="120">
        <f>IF($B361="","",IFERROR(INDEX(Productos!$F:$F,MATCH($B361,Productos!$A:$A,0)),0))</f>
        <v>3800</v>
      </c>
      <c r="F361" s="120">
        <f t="shared" si="15"/>
        <v>7600</v>
      </c>
      <c r="G361" s="120">
        <f>IF($B361="","",IFERROR(INDEX(Productos!$E:$E,MATCH($B361,Productos!$A:$A,0)),0))</f>
        <v>2600</v>
      </c>
      <c r="H361" s="120">
        <f t="shared" si="16"/>
        <v>5200</v>
      </c>
      <c r="I361" s="120">
        <f t="shared" si="17"/>
        <v>2400</v>
      </c>
      <c r="J361" s="52" t="s">
        <v>106</v>
      </c>
      <c r="K361" s="52" t="s">
        <v>79</v>
      </c>
      <c r="L361" s="119" t="str">
        <f>IF($B361="","",IFERROR(INDEX(Productos!$C:$C,MATCH($B361,Productos!$A:$A,0)),""))</f>
        <v>Bebidas</v>
      </c>
    </row>
    <row r="362" spans="1:12" ht="15" customHeight="1" x14ac:dyDescent="0.3">
      <c r="A362" s="51">
        <v>46232</v>
      </c>
      <c r="B362" s="52" t="s">
        <v>143</v>
      </c>
      <c r="C362" s="119" t="str">
        <f>IF($B362="","",IFERROR(INDEX(Productos!$B:$B,MATCH($B362,Productos!$A:$A,0)),""))</f>
        <v>Pan tajado 500 g</v>
      </c>
      <c r="D362" s="53">
        <v>3</v>
      </c>
      <c r="E362" s="120">
        <f>IF($B362="","",IFERROR(INDEX(Productos!$F:$F,MATCH($B362,Productos!$A:$A,0)),0))</f>
        <v>5200</v>
      </c>
      <c r="F362" s="120">
        <f t="shared" si="15"/>
        <v>15600</v>
      </c>
      <c r="G362" s="120">
        <f>IF($B362="","",IFERROR(INDEX(Productos!$E:$E,MATCH($B362,Productos!$A:$A,0)),0))</f>
        <v>3900</v>
      </c>
      <c r="H362" s="120">
        <f t="shared" si="16"/>
        <v>11700</v>
      </c>
      <c r="I362" s="120">
        <f t="shared" si="17"/>
        <v>3900</v>
      </c>
      <c r="J362" s="52" t="s">
        <v>104</v>
      </c>
      <c r="K362" s="52" t="s">
        <v>79</v>
      </c>
      <c r="L362" s="119" t="str">
        <f>IF($B362="","",IFERROR(INDEX(Productos!$C:$C,MATCH($B362,Productos!$A:$A,0)),""))</f>
        <v>Panadería</v>
      </c>
    </row>
    <row r="363" spans="1:12" ht="15" customHeight="1" x14ac:dyDescent="0.3">
      <c r="A363" s="51">
        <v>46232</v>
      </c>
      <c r="B363" s="52" t="s">
        <v>146</v>
      </c>
      <c r="C363" s="119" t="str">
        <f>IF($B363="","",IFERROR(INDEX(Productos!$B:$B,MATCH($B363,Productos!$A:$A,0)),""))</f>
        <v>Galletas surtidas</v>
      </c>
      <c r="D363" s="53">
        <v>1</v>
      </c>
      <c r="E363" s="120">
        <f>IF($B363="","",IFERROR(INDEX(Productos!$F:$F,MATCH($B363,Productos!$A:$A,0)),0))</f>
        <v>2700</v>
      </c>
      <c r="F363" s="120">
        <f t="shared" si="15"/>
        <v>2700</v>
      </c>
      <c r="G363" s="120">
        <f>IF($B363="","",IFERROR(INDEX(Productos!$E:$E,MATCH($B363,Productos!$A:$A,0)),0))</f>
        <v>1800</v>
      </c>
      <c r="H363" s="120">
        <f t="shared" si="16"/>
        <v>1800</v>
      </c>
      <c r="I363" s="120">
        <f t="shared" si="17"/>
        <v>900</v>
      </c>
      <c r="J363" s="52" t="s">
        <v>106</v>
      </c>
      <c r="K363" s="52" t="s">
        <v>78</v>
      </c>
      <c r="L363" s="119" t="str">
        <f>IF($B363="","",IFERROR(INDEX(Productos!$C:$C,MATCH($B363,Productos!$A:$A,0)),""))</f>
        <v>Snacks</v>
      </c>
    </row>
    <row r="364" spans="1:12" ht="15" customHeight="1" x14ac:dyDescent="0.3">
      <c r="A364" s="51">
        <v>46232</v>
      </c>
      <c r="B364" s="52" t="s">
        <v>149</v>
      </c>
      <c r="C364" s="119" t="str">
        <f>IF($B364="","",IFERROR(INDEX(Productos!$B:$B,MATCH($B364,Productos!$A:$A,0)),""))</f>
        <v>Papas fritas 105 g</v>
      </c>
      <c r="D364" s="53">
        <v>3</v>
      </c>
      <c r="E364" s="120">
        <f>IF($B364="","",IFERROR(INDEX(Productos!$F:$F,MATCH($B364,Productos!$A:$A,0)),0))</f>
        <v>4800</v>
      </c>
      <c r="F364" s="120">
        <f t="shared" si="15"/>
        <v>14400</v>
      </c>
      <c r="G364" s="120">
        <f>IF($B364="","",IFERROR(INDEX(Productos!$E:$E,MATCH($B364,Productos!$A:$A,0)),0))</f>
        <v>3200</v>
      </c>
      <c r="H364" s="120">
        <f t="shared" si="16"/>
        <v>9600</v>
      </c>
      <c r="I364" s="120">
        <f t="shared" si="17"/>
        <v>4800</v>
      </c>
      <c r="J364" s="52" t="s">
        <v>102</v>
      </c>
      <c r="K364" s="52" t="s">
        <v>79</v>
      </c>
      <c r="L364" s="119" t="str">
        <f>IF($B364="","",IFERROR(INDEX(Productos!$C:$C,MATCH($B364,Productos!$A:$A,0)),""))</f>
        <v>Snacks</v>
      </c>
    </row>
    <row r="365" spans="1:12" ht="15" customHeight="1" x14ac:dyDescent="0.3">
      <c r="A365" s="51">
        <v>46232</v>
      </c>
      <c r="B365" s="52" t="s">
        <v>158</v>
      </c>
      <c r="C365" s="119" t="str">
        <f>IF($B365="","",IFERROR(INDEX(Productos!$B:$B,MATCH($B365,Productos!$A:$A,0)),""))</f>
        <v>Huevos AA x 12</v>
      </c>
      <c r="D365" s="53">
        <v>1</v>
      </c>
      <c r="E365" s="120">
        <f>IF($B365="","",IFERROR(INDEX(Productos!$F:$F,MATCH($B365,Productos!$A:$A,0)),0))</f>
        <v>12000</v>
      </c>
      <c r="F365" s="120">
        <f t="shared" si="15"/>
        <v>12000</v>
      </c>
      <c r="G365" s="120">
        <f>IF($B365="","",IFERROR(INDEX(Productos!$E:$E,MATCH($B365,Productos!$A:$A,0)),0))</f>
        <v>9200</v>
      </c>
      <c r="H365" s="120">
        <f t="shared" si="16"/>
        <v>9200</v>
      </c>
      <c r="I365" s="120">
        <f t="shared" si="17"/>
        <v>2800</v>
      </c>
      <c r="J365" s="52" t="s">
        <v>102</v>
      </c>
      <c r="K365" s="52" t="s">
        <v>80</v>
      </c>
      <c r="L365" s="119" t="str">
        <f>IF($B365="","",IFERROR(INDEX(Productos!$C:$C,MATCH($B365,Productos!$A:$A,0)),""))</f>
        <v>Perecederos</v>
      </c>
    </row>
    <row r="366" spans="1:12" ht="15" customHeight="1" x14ac:dyDescent="0.3">
      <c r="A366" s="51">
        <v>46232</v>
      </c>
      <c r="B366" s="52" t="s">
        <v>163</v>
      </c>
      <c r="C366" s="119" t="str">
        <f>IF($B366="","",IFERROR(INDEX(Productos!$B:$B,MATCH($B366,Productos!$A:$A,0)),""))</f>
        <v>Tomate kg</v>
      </c>
      <c r="D366" s="53">
        <v>1</v>
      </c>
      <c r="E366" s="120">
        <f>IF($B366="","",IFERROR(INDEX(Productos!$F:$F,MATCH($B366,Productos!$A:$A,0)),0))</f>
        <v>4200</v>
      </c>
      <c r="F366" s="120">
        <f t="shared" si="15"/>
        <v>4200</v>
      </c>
      <c r="G366" s="120">
        <f>IF($B366="","",IFERROR(INDEX(Productos!$E:$E,MATCH($B366,Productos!$A:$A,0)),0))</f>
        <v>2800</v>
      </c>
      <c r="H366" s="120">
        <f t="shared" si="16"/>
        <v>2800</v>
      </c>
      <c r="I366" s="120">
        <f t="shared" si="17"/>
        <v>1400</v>
      </c>
      <c r="J366" s="52" t="s">
        <v>102</v>
      </c>
      <c r="K366" s="52" t="s">
        <v>78</v>
      </c>
      <c r="L366" s="119" t="str">
        <f>IF($B366="","",IFERROR(INDEX(Productos!$C:$C,MATCH($B366,Productos!$A:$A,0)),""))</f>
        <v>Frutas y verduras</v>
      </c>
    </row>
    <row r="367" spans="1:12" ht="15" customHeight="1" x14ac:dyDescent="0.3">
      <c r="A367" s="51">
        <v>46232</v>
      </c>
      <c r="B367" s="52" t="s">
        <v>166</v>
      </c>
      <c r="C367" s="119" t="str">
        <f>IF($B367="","",IFERROR(INDEX(Productos!$B:$B,MATCH($B367,Productos!$A:$A,0)),""))</f>
        <v>Papa kg</v>
      </c>
      <c r="D367" s="53">
        <v>1</v>
      </c>
      <c r="E367" s="120">
        <f>IF($B367="","",IFERROR(INDEX(Productos!$F:$F,MATCH($B367,Productos!$A:$A,0)),0))</f>
        <v>2800</v>
      </c>
      <c r="F367" s="120">
        <f t="shared" si="15"/>
        <v>2800</v>
      </c>
      <c r="G367" s="120">
        <f>IF($B367="","",IFERROR(INDEX(Productos!$E:$E,MATCH($B367,Productos!$A:$A,0)),0))</f>
        <v>1900</v>
      </c>
      <c r="H367" s="120">
        <f t="shared" si="16"/>
        <v>1900</v>
      </c>
      <c r="I367" s="120">
        <f t="shared" si="17"/>
        <v>900</v>
      </c>
      <c r="J367" s="52" t="s">
        <v>102</v>
      </c>
      <c r="K367" s="52" t="s">
        <v>80</v>
      </c>
      <c r="L367" s="119" t="str">
        <f>IF($B367="","",IFERROR(INDEX(Productos!$C:$C,MATCH($B367,Productos!$A:$A,0)),""))</f>
        <v>Frutas y verduras</v>
      </c>
    </row>
    <row r="368" spans="1:12" ht="15" customHeight="1" x14ac:dyDescent="0.3">
      <c r="A368" s="51">
        <v>46232</v>
      </c>
      <c r="B368" s="52" t="s">
        <v>168</v>
      </c>
      <c r="C368" s="119" t="str">
        <f>IF($B368="","",IFERROR(INDEX(Productos!$B:$B,MATCH($B368,Productos!$A:$A,0)),""))</f>
        <v>Banano kg</v>
      </c>
      <c r="D368" s="53">
        <v>1</v>
      </c>
      <c r="E368" s="120">
        <f>IF($B368="","",IFERROR(INDEX(Productos!$F:$F,MATCH($B368,Productos!$A:$A,0)),0))</f>
        <v>3400</v>
      </c>
      <c r="F368" s="120">
        <f t="shared" si="15"/>
        <v>3400</v>
      </c>
      <c r="G368" s="120">
        <f>IF($B368="","",IFERROR(INDEX(Productos!$E:$E,MATCH($B368,Productos!$A:$A,0)),0))</f>
        <v>2200</v>
      </c>
      <c r="H368" s="120">
        <f t="shared" si="16"/>
        <v>2200</v>
      </c>
      <c r="I368" s="120">
        <f t="shared" si="17"/>
        <v>1200</v>
      </c>
      <c r="J368" s="52" t="s">
        <v>102</v>
      </c>
      <c r="K368" s="52" t="s">
        <v>79</v>
      </c>
      <c r="L368" s="119" t="str">
        <f>IF($B368="","",IFERROR(INDEX(Productos!$C:$C,MATCH($B368,Productos!$A:$A,0)),""))</f>
        <v>Frutas y verduras</v>
      </c>
    </row>
    <row r="369" spans="1:12" ht="15" customHeight="1" x14ac:dyDescent="0.3">
      <c r="A369" s="51">
        <v>46233</v>
      </c>
      <c r="B369" s="52" t="s">
        <v>124</v>
      </c>
      <c r="C369" s="119" t="str">
        <f>IF($B369="","",IFERROR(INDEX(Productos!$B:$B,MATCH($B369,Productos!$A:$A,0)),""))</f>
        <v>Aceite girasol 1 L</v>
      </c>
      <c r="D369" s="53">
        <v>1</v>
      </c>
      <c r="E369" s="120">
        <f>IF($B369="","",IFERROR(INDEX(Productos!$F:$F,MATCH($B369,Productos!$A:$A,0)),0))</f>
        <v>9500</v>
      </c>
      <c r="F369" s="120">
        <f t="shared" si="15"/>
        <v>9500</v>
      </c>
      <c r="G369" s="120">
        <f>IF($B369="","",IFERROR(INDEX(Productos!$E:$E,MATCH($B369,Productos!$A:$A,0)),0))</f>
        <v>7200</v>
      </c>
      <c r="H369" s="120">
        <f t="shared" si="16"/>
        <v>7200</v>
      </c>
      <c r="I369" s="120">
        <f t="shared" si="17"/>
        <v>2300</v>
      </c>
      <c r="J369" s="52" t="s">
        <v>108</v>
      </c>
      <c r="K369" s="52" t="s">
        <v>78</v>
      </c>
      <c r="L369" s="119" t="str">
        <f>IF($B369="","",IFERROR(INDEX(Productos!$C:$C,MATCH($B369,Productos!$A:$A,0)),""))</f>
        <v>Granos y abarrotes</v>
      </c>
    </row>
    <row r="370" spans="1:12" ht="15" customHeight="1" x14ac:dyDescent="0.3">
      <c r="A370" s="51">
        <v>46233</v>
      </c>
      <c r="B370" s="52" t="s">
        <v>126</v>
      </c>
      <c r="C370" s="119" t="str">
        <f>IF($B370="","",IFERROR(INDEX(Productos!$B:$B,MATCH($B370,Productos!$A:$A,0)),""))</f>
        <v>Panela x 500 g</v>
      </c>
      <c r="D370" s="53">
        <v>2</v>
      </c>
      <c r="E370" s="120">
        <f>IF($B370="","",IFERROR(INDEX(Productos!$F:$F,MATCH($B370,Productos!$A:$A,0)),0))</f>
        <v>2900</v>
      </c>
      <c r="F370" s="120">
        <f t="shared" si="15"/>
        <v>5800</v>
      </c>
      <c r="G370" s="120">
        <f>IF($B370="","",IFERROR(INDEX(Productos!$E:$E,MATCH($B370,Productos!$A:$A,0)),0))</f>
        <v>2100</v>
      </c>
      <c r="H370" s="120">
        <f t="shared" si="16"/>
        <v>4200</v>
      </c>
      <c r="I370" s="120">
        <f t="shared" si="17"/>
        <v>1600</v>
      </c>
      <c r="J370" s="52" t="s">
        <v>106</v>
      </c>
      <c r="K370" s="52" t="s">
        <v>78</v>
      </c>
      <c r="L370" s="119" t="str">
        <f>IF($B370="","",IFERROR(INDEX(Productos!$C:$C,MATCH($B370,Productos!$A:$A,0)),""))</f>
        <v>Granos y abarrotes</v>
      </c>
    </row>
    <row r="371" spans="1:12" ht="15" customHeight="1" x14ac:dyDescent="0.3">
      <c r="A371" s="51">
        <v>46233</v>
      </c>
      <c r="B371" s="52" t="s">
        <v>129</v>
      </c>
      <c r="C371" s="119" t="str">
        <f>IF($B371="","",IFERROR(INDEX(Productos!$B:$B,MATCH($B371,Productos!$A:$A,0)),""))</f>
        <v>Leche entera 1 L</v>
      </c>
      <c r="D371" s="53">
        <v>2</v>
      </c>
      <c r="E371" s="120">
        <f>IF($B371="","",IFERROR(INDEX(Productos!$F:$F,MATCH($B371,Productos!$A:$A,0)),0))</f>
        <v>3900</v>
      </c>
      <c r="F371" s="120">
        <f t="shared" si="15"/>
        <v>7800</v>
      </c>
      <c r="G371" s="120">
        <f>IF($B371="","",IFERROR(INDEX(Productos!$E:$E,MATCH($B371,Productos!$A:$A,0)),0))</f>
        <v>3100</v>
      </c>
      <c r="H371" s="120">
        <f t="shared" si="16"/>
        <v>6200</v>
      </c>
      <c r="I371" s="120">
        <f t="shared" si="17"/>
        <v>1600</v>
      </c>
      <c r="J371" s="52" t="s">
        <v>104</v>
      </c>
      <c r="K371" s="52" t="s">
        <v>78</v>
      </c>
      <c r="L371" s="119" t="str">
        <f>IF($B371="","",IFERROR(INDEX(Productos!$C:$C,MATCH($B371,Productos!$A:$A,0)),""))</f>
        <v>Lácteos</v>
      </c>
    </row>
    <row r="372" spans="1:12" ht="15" customHeight="1" x14ac:dyDescent="0.3">
      <c r="A372" s="51">
        <v>46233</v>
      </c>
      <c r="B372" s="52" t="s">
        <v>139</v>
      </c>
      <c r="C372" s="119" t="str">
        <f>IF($B372="","",IFERROR(INDEX(Productos!$B:$B,MATCH($B372,Productos!$A:$A,0)),""))</f>
        <v>Agua 600 ml</v>
      </c>
      <c r="D372" s="53">
        <v>1</v>
      </c>
      <c r="E372" s="120">
        <f>IF($B372="","",IFERROR(INDEX(Productos!$F:$F,MATCH($B372,Productos!$A:$A,0)),0))</f>
        <v>1800</v>
      </c>
      <c r="F372" s="120">
        <f t="shared" si="15"/>
        <v>1800</v>
      </c>
      <c r="G372" s="120">
        <f>IF($B372="","",IFERROR(INDEX(Productos!$E:$E,MATCH($B372,Productos!$A:$A,0)),0))</f>
        <v>1200</v>
      </c>
      <c r="H372" s="120">
        <f t="shared" si="16"/>
        <v>1200</v>
      </c>
      <c r="I372" s="120">
        <f t="shared" si="17"/>
        <v>600</v>
      </c>
      <c r="J372" s="52" t="s">
        <v>102</v>
      </c>
      <c r="K372" s="52" t="s">
        <v>78</v>
      </c>
      <c r="L372" s="119" t="str">
        <f>IF($B372="","",IFERROR(INDEX(Productos!$C:$C,MATCH($B372,Productos!$A:$A,0)),""))</f>
        <v>Bebidas</v>
      </c>
    </row>
    <row r="373" spans="1:12" ht="15" customHeight="1" x14ac:dyDescent="0.3">
      <c r="A373" s="51">
        <v>46233</v>
      </c>
      <c r="B373" s="52" t="s">
        <v>141</v>
      </c>
      <c r="C373" s="119" t="str">
        <f>IF($B373="","",IFERROR(INDEX(Productos!$B:$B,MATCH($B373,Productos!$A:$A,0)),""))</f>
        <v>Cerveza lata 330 ml</v>
      </c>
      <c r="D373" s="53">
        <v>2</v>
      </c>
      <c r="E373" s="120">
        <f>IF($B373="","",IFERROR(INDEX(Productos!$F:$F,MATCH($B373,Productos!$A:$A,0)),0))</f>
        <v>3800</v>
      </c>
      <c r="F373" s="120">
        <f t="shared" si="15"/>
        <v>7600</v>
      </c>
      <c r="G373" s="120">
        <f>IF($B373="","",IFERROR(INDEX(Productos!$E:$E,MATCH($B373,Productos!$A:$A,0)),0))</f>
        <v>2600</v>
      </c>
      <c r="H373" s="120">
        <f t="shared" si="16"/>
        <v>5200</v>
      </c>
      <c r="I373" s="120">
        <f t="shared" si="17"/>
        <v>2400</v>
      </c>
      <c r="J373" s="52" t="s">
        <v>106</v>
      </c>
      <c r="K373" s="52" t="s">
        <v>78</v>
      </c>
      <c r="L373" s="119" t="str">
        <f>IF($B373="","",IFERROR(INDEX(Productos!$C:$C,MATCH($B373,Productos!$A:$A,0)),""))</f>
        <v>Bebidas</v>
      </c>
    </row>
    <row r="374" spans="1:12" ht="15" customHeight="1" x14ac:dyDescent="0.3">
      <c r="A374" s="51">
        <v>46233</v>
      </c>
      <c r="B374" s="52" t="s">
        <v>143</v>
      </c>
      <c r="C374" s="119" t="str">
        <f>IF($B374="","",IFERROR(INDEX(Productos!$B:$B,MATCH($B374,Productos!$A:$A,0)),""))</f>
        <v>Pan tajado 500 g</v>
      </c>
      <c r="D374" s="53">
        <v>3</v>
      </c>
      <c r="E374" s="120">
        <f>IF($B374="","",IFERROR(INDEX(Productos!$F:$F,MATCH($B374,Productos!$A:$A,0)),0))</f>
        <v>5200</v>
      </c>
      <c r="F374" s="120">
        <f t="shared" si="15"/>
        <v>15600</v>
      </c>
      <c r="G374" s="120">
        <f>IF($B374="","",IFERROR(INDEX(Productos!$E:$E,MATCH($B374,Productos!$A:$A,0)),0))</f>
        <v>3900</v>
      </c>
      <c r="H374" s="120">
        <f t="shared" si="16"/>
        <v>11700</v>
      </c>
      <c r="I374" s="120">
        <f t="shared" si="17"/>
        <v>3900</v>
      </c>
      <c r="J374" s="52" t="s">
        <v>106</v>
      </c>
      <c r="K374" s="52" t="s">
        <v>79</v>
      </c>
      <c r="L374" s="119" t="str">
        <f>IF($B374="","",IFERROR(INDEX(Productos!$C:$C,MATCH($B374,Productos!$A:$A,0)),""))</f>
        <v>Panadería</v>
      </c>
    </row>
    <row r="375" spans="1:12" ht="15" customHeight="1" x14ac:dyDescent="0.3">
      <c r="A375" s="51">
        <v>46233</v>
      </c>
      <c r="B375" s="52" t="s">
        <v>146</v>
      </c>
      <c r="C375" s="119" t="str">
        <f>IF($B375="","",IFERROR(INDEX(Productos!$B:$B,MATCH($B375,Productos!$A:$A,0)),""))</f>
        <v>Galletas surtidas</v>
      </c>
      <c r="D375" s="53">
        <v>1</v>
      </c>
      <c r="E375" s="120">
        <f>IF($B375="","",IFERROR(INDEX(Productos!$F:$F,MATCH($B375,Productos!$A:$A,0)),0))</f>
        <v>2700</v>
      </c>
      <c r="F375" s="120">
        <f t="shared" si="15"/>
        <v>2700</v>
      </c>
      <c r="G375" s="120">
        <f>IF($B375="","",IFERROR(INDEX(Productos!$E:$E,MATCH($B375,Productos!$A:$A,0)),0))</f>
        <v>1800</v>
      </c>
      <c r="H375" s="120">
        <f t="shared" si="16"/>
        <v>1800</v>
      </c>
      <c r="I375" s="120">
        <f t="shared" si="17"/>
        <v>900</v>
      </c>
      <c r="J375" s="52" t="s">
        <v>102</v>
      </c>
      <c r="K375" s="52" t="s">
        <v>79</v>
      </c>
      <c r="L375" s="119" t="str">
        <f>IF($B375="","",IFERROR(INDEX(Productos!$C:$C,MATCH($B375,Productos!$A:$A,0)),""))</f>
        <v>Snacks</v>
      </c>
    </row>
    <row r="376" spans="1:12" ht="15" customHeight="1" x14ac:dyDescent="0.3">
      <c r="A376" s="51">
        <v>46233</v>
      </c>
      <c r="B376" s="52" t="s">
        <v>158</v>
      </c>
      <c r="C376" s="119" t="str">
        <f>IF($B376="","",IFERROR(INDEX(Productos!$B:$B,MATCH($B376,Productos!$A:$A,0)),""))</f>
        <v>Huevos AA x 12</v>
      </c>
      <c r="D376" s="53">
        <v>1</v>
      </c>
      <c r="E376" s="120">
        <f>IF($B376="","",IFERROR(INDEX(Productos!$F:$F,MATCH($B376,Productos!$A:$A,0)),0))</f>
        <v>12000</v>
      </c>
      <c r="F376" s="120">
        <f t="shared" si="15"/>
        <v>12000</v>
      </c>
      <c r="G376" s="120">
        <f>IF($B376="","",IFERROR(INDEX(Productos!$E:$E,MATCH($B376,Productos!$A:$A,0)),0))</f>
        <v>9200</v>
      </c>
      <c r="H376" s="120">
        <f t="shared" si="16"/>
        <v>9200</v>
      </c>
      <c r="I376" s="120">
        <f t="shared" si="17"/>
        <v>2800</v>
      </c>
      <c r="J376" s="52" t="s">
        <v>104</v>
      </c>
      <c r="K376" s="52" t="s">
        <v>78</v>
      </c>
      <c r="L376" s="119" t="str">
        <f>IF($B376="","",IFERROR(INDEX(Productos!$C:$C,MATCH($B376,Productos!$A:$A,0)),""))</f>
        <v>Perecederos</v>
      </c>
    </row>
    <row r="377" spans="1:12" ht="15" customHeight="1" x14ac:dyDescent="0.3">
      <c r="A377" s="51">
        <v>46233</v>
      </c>
      <c r="B377" s="52" t="s">
        <v>166</v>
      </c>
      <c r="C377" s="119" t="str">
        <f>IF($B377="","",IFERROR(INDEX(Productos!$B:$B,MATCH($B377,Productos!$A:$A,0)),""))</f>
        <v>Papa kg</v>
      </c>
      <c r="D377" s="53">
        <v>2</v>
      </c>
      <c r="E377" s="120">
        <f>IF($B377="","",IFERROR(INDEX(Productos!$F:$F,MATCH($B377,Productos!$A:$A,0)),0))</f>
        <v>2800</v>
      </c>
      <c r="F377" s="120">
        <f t="shared" si="15"/>
        <v>5600</v>
      </c>
      <c r="G377" s="120">
        <f>IF($B377="","",IFERROR(INDEX(Productos!$E:$E,MATCH($B377,Productos!$A:$A,0)),0))</f>
        <v>1900</v>
      </c>
      <c r="H377" s="120">
        <f t="shared" si="16"/>
        <v>3800</v>
      </c>
      <c r="I377" s="120">
        <f t="shared" si="17"/>
        <v>1800</v>
      </c>
      <c r="J377" s="52" t="s">
        <v>102</v>
      </c>
      <c r="K377" s="52" t="s">
        <v>79</v>
      </c>
      <c r="L377" s="119" t="str">
        <f>IF($B377="","",IFERROR(INDEX(Productos!$C:$C,MATCH($B377,Productos!$A:$A,0)),""))</f>
        <v>Frutas y verduras</v>
      </c>
    </row>
    <row r="378" spans="1:12" ht="15" customHeight="1" x14ac:dyDescent="0.3">
      <c r="A378" s="51">
        <v>46233</v>
      </c>
      <c r="B378" s="52" t="s">
        <v>168</v>
      </c>
      <c r="C378" s="119" t="str">
        <f>IF($B378="","",IFERROR(INDEX(Productos!$B:$B,MATCH($B378,Productos!$A:$A,0)),""))</f>
        <v>Banano kg</v>
      </c>
      <c r="D378" s="53">
        <v>1</v>
      </c>
      <c r="E378" s="120">
        <f>IF($B378="","",IFERROR(INDEX(Productos!$F:$F,MATCH($B378,Productos!$A:$A,0)),0))</f>
        <v>3400</v>
      </c>
      <c r="F378" s="120">
        <f t="shared" si="15"/>
        <v>3400</v>
      </c>
      <c r="G378" s="120">
        <f>IF($B378="","",IFERROR(INDEX(Productos!$E:$E,MATCH($B378,Productos!$A:$A,0)),0))</f>
        <v>2200</v>
      </c>
      <c r="H378" s="120">
        <f t="shared" si="16"/>
        <v>2200</v>
      </c>
      <c r="I378" s="120">
        <f t="shared" si="17"/>
        <v>1200</v>
      </c>
      <c r="J378" s="52" t="s">
        <v>108</v>
      </c>
      <c r="K378" s="52" t="s">
        <v>79</v>
      </c>
      <c r="L378" s="119" t="str">
        <f>IF($B378="","",IFERROR(INDEX(Productos!$C:$C,MATCH($B378,Productos!$A:$A,0)),""))</f>
        <v>Frutas y verduras</v>
      </c>
    </row>
    <row r="379" spans="1:12" ht="15" customHeight="1" x14ac:dyDescent="0.3">
      <c r="A379" s="51"/>
      <c r="B379" s="52"/>
      <c r="C379" s="119" t="str">
        <f>IF($B379="","",IFERROR(INDEX(Productos!$B:$B,MATCH($B379,Productos!$A:$A,0)),""))</f>
        <v/>
      </c>
      <c r="D379" s="53"/>
      <c r="E379" s="120" t="str">
        <f>IF($B379="","",IFERROR(INDEX(Productos!$F:$F,MATCH($B379,Productos!$A:$A,0)),0))</f>
        <v/>
      </c>
      <c r="F379" s="120" t="str">
        <f t="shared" ref="F379:F383" si="18">IF($B379="","",N(D379)*E379)</f>
        <v/>
      </c>
      <c r="G379" s="120" t="str">
        <f>IF($B379="","",IFERROR(INDEX(Productos!$E:$E,MATCH($B379,Productos!$A:$A,0)),0))</f>
        <v/>
      </c>
      <c r="H379" s="120" t="str">
        <f t="shared" ref="H379:H383" si="19">IF($B379="","",N(D379)*G379)</f>
        <v/>
      </c>
      <c r="I379" s="120" t="str">
        <f t="shared" ref="I379:I383" si="20">IF($B379="","",F379-H379)</f>
        <v/>
      </c>
      <c r="J379" s="52"/>
      <c r="K379" s="52"/>
      <c r="L379" s="119" t="str">
        <f>IF($B379="","",IFERROR(INDEX(Productos!$C:$C,MATCH($B379,Productos!$A:$A,0)),""))</f>
        <v/>
      </c>
    </row>
    <row r="380" spans="1:12" ht="15" customHeight="1" x14ac:dyDescent="0.3">
      <c r="A380" s="51"/>
      <c r="B380" s="52"/>
      <c r="C380" s="119" t="str">
        <f>IF($B380="","",IFERROR(INDEX(Productos!$B:$B,MATCH($B380,Productos!$A:$A,0)),""))</f>
        <v/>
      </c>
      <c r="D380" s="53"/>
      <c r="E380" s="120" t="str">
        <f>IF($B380="","",IFERROR(INDEX(Productos!$F:$F,MATCH($B380,Productos!$A:$A,0)),0))</f>
        <v/>
      </c>
      <c r="F380" s="120" t="str">
        <f t="shared" si="18"/>
        <v/>
      </c>
      <c r="G380" s="120" t="str">
        <f>IF($B380="","",IFERROR(INDEX(Productos!$E:$E,MATCH($B380,Productos!$A:$A,0)),0))</f>
        <v/>
      </c>
      <c r="H380" s="120" t="str">
        <f t="shared" si="19"/>
        <v/>
      </c>
      <c r="I380" s="120" t="str">
        <f t="shared" si="20"/>
        <v/>
      </c>
      <c r="J380" s="52"/>
      <c r="K380" s="52"/>
      <c r="L380" s="119" t="str">
        <f>IF($B380="","",IFERROR(INDEX(Productos!$C:$C,MATCH($B380,Productos!$A:$A,0)),""))</f>
        <v/>
      </c>
    </row>
    <row r="381" spans="1:12" ht="15" customHeight="1" x14ac:dyDescent="0.3">
      <c r="A381" s="51"/>
      <c r="B381" s="52"/>
      <c r="C381" s="119" t="str">
        <f>IF($B381="","",IFERROR(INDEX(Productos!$B:$B,MATCH($B381,Productos!$A:$A,0)),""))</f>
        <v/>
      </c>
      <c r="D381" s="53"/>
      <c r="E381" s="120" t="str">
        <f>IF($B381="","",IFERROR(INDEX(Productos!$F:$F,MATCH($B381,Productos!$A:$A,0)),0))</f>
        <v/>
      </c>
      <c r="F381" s="120" t="str">
        <f t="shared" si="18"/>
        <v/>
      </c>
      <c r="G381" s="120" t="str">
        <f>IF($B381="","",IFERROR(INDEX(Productos!$E:$E,MATCH($B381,Productos!$A:$A,0)),0))</f>
        <v/>
      </c>
      <c r="H381" s="120" t="str">
        <f t="shared" si="19"/>
        <v/>
      </c>
      <c r="I381" s="120" t="str">
        <f t="shared" si="20"/>
        <v/>
      </c>
      <c r="J381" s="52"/>
      <c r="K381" s="52"/>
      <c r="L381" s="119" t="str">
        <f>IF($B381="","",IFERROR(INDEX(Productos!$C:$C,MATCH($B381,Productos!$A:$A,0)),""))</f>
        <v/>
      </c>
    </row>
    <row r="382" spans="1:12" ht="15" customHeight="1" x14ac:dyDescent="0.3">
      <c r="A382" s="51"/>
      <c r="B382" s="52"/>
      <c r="C382" s="119" t="str">
        <f>IF($B382="","",IFERROR(INDEX(Productos!$B:$B,MATCH($B382,Productos!$A:$A,0)),""))</f>
        <v/>
      </c>
      <c r="D382" s="53"/>
      <c r="E382" s="120" t="str">
        <f>IF($B382="","",IFERROR(INDEX(Productos!$F:$F,MATCH($B382,Productos!$A:$A,0)),0))</f>
        <v/>
      </c>
      <c r="F382" s="120" t="str">
        <f t="shared" si="18"/>
        <v/>
      </c>
      <c r="G382" s="120" t="str">
        <f>IF($B382="","",IFERROR(INDEX(Productos!$E:$E,MATCH($B382,Productos!$A:$A,0)),0))</f>
        <v/>
      </c>
      <c r="H382" s="120" t="str">
        <f t="shared" si="19"/>
        <v/>
      </c>
      <c r="I382" s="120" t="str">
        <f t="shared" si="20"/>
        <v/>
      </c>
      <c r="J382" s="52"/>
      <c r="K382" s="52"/>
      <c r="L382" s="119" t="str">
        <f>IF($B382="","",IFERROR(INDEX(Productos!$C:$C,MATCH($B382,Productos!$A:$A,0)),""))</f>
        <v/>
      </c>
    </row>
    <row r="383" spans="1:12" ht="15" customHeight="1" x14ac:dyDescent="0.3">
      <c r="A383" s="51"/>
      <c r="B383" s="52"/>
      <c r="C383" s="119" t="str">
        <f>IF($B383="","",IFERROR(INDEX(Productos!$B:$B,MATCH($B383,Productos!$A:$A,0)),""))</f>
        <v/>
      </c>
      <c r="D383" s="53"/>
      <c r="E383" s="120" t="str">
        <f>IF($B383="","",IFERROR(INDEX(Productos!$F:$F,MATCH($B383,Productos!$A:$A,0)),0))</f>
        <v/>
      </c>
      <c r="F383" s="120" t="str">
        <f t="shared" si="18"/>
        <v/>
      </c>
      <c r="G383" s="120" t="str">
        <f>IF($B383="","",IFERROR(INDEX(Productos!$E:$E,MATCH($B383,Productos!$A:$A,0)),0))</f>
        <v/>
      </c>
      <c r="H383" s="120" t="str">
        <f t="shared" si="19"/>
        <v/>
      </c>
      <c r="I383" s="120" t="str">
        <f t="shared" si="20"/>
        <v/>
      </c>
      <c r="J383" s="52"/>
      <c r="K383" s="52"/>
      <c r="L383" s="119" t="str">
        <f>IF($B383="","",IFERROR(INDEX(Productos!$C:$C,MATCH($B383,Productos!$A:$A,0)),""))</f>
        <v/>
      </c>
    </row>
    <row r="384" spans="1:12" ht="15" customHeight="1" x14ac:dyDescent="0.3">
      <c r="C384" s="54" t="s">
        <v>71</v>
      </c>
      <c r="D384" s="121">
        <f>SUM(D5:D383)</f>
        <v>670</v>
      </c>
      <c r="F384" s="122">
        <f>SUM(F5:F383)</f>
        <v>3502000</v>
      </c>
      <c r="H384" s="122">
        <f>SUM(H5:H383)</f>
        <v>2549000</v>
      </c>
      <c r="I384" s="122">
        <f>SUM(I5:I383)</f>
        <v>953000</v>
      </c>
    </row>
  </sheetData>
  <sheetProtection sheet="1" objects="1" scenarios="1" insertHyperlinks="0" sort="0" autoFilter="0"/>
  <autoFilter ref="A4:L383" xr:uid="{00000000-0009-0000-0000-000004000000}"/>
  <mergeCells count="2">
    <mergeCell ref="A1:L1"/>
    <mergeCell ref="A2:L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24" sqref="E24"/>
    </sheetView>
  </sheetViews>
  <sheetFormatPr baseColWidth="10" defaultColWidth="8.6640625" defaultRowHeight="14.4" x14ac:dyDescent="0.3"/>
  <cols>
    <col min="1" max="1" width="12" style="6" customWidth="1"/>
    <col min="2" max="2" width="9" style="6" customWidth="1"/>
    <col min="3" max="3" width="26" style="6" customWidth="1"/>
    <col min="4" max="4" width="10" style="6" customWidth="1"/>
    <col min="5" max="6" width="13" style="6" customWidth="1"/>
    <col min="7" max="7" width="20" style="6" customWidth="1"/>
    <col min="8" max="16384" width="8.6640625" style="6"/>
  </cols>
  <sheetData>
    <row r="1" spans="1:7" ht="27.75" customHeight="1" x14ac:dyDescent="0.3">
      <c r="A1" s="89" t="s">
        <v>177</v>
      </c>
      <c r="B1" s="90"/>
      <c r="C1" s="90"/>
      <c r="D1" s="90"/>
      <c r="E1" s="90"/>
      <c r="F1" s="90"/>
      <c r="G1" s="90"/>
    </row>
    <row r="2" spans="1:7" ht="26.4" customHeight="1" x14ac:dyDescent="0.3">
      <c r="A2" s="103" t="s">
        <v>215</v>
      </c>
      <c r="B2" s="104"/>
      <c r="C2" s="104"/>
      <c r="D2" s="104"/>
      <c r="E2" s="104"/>
      <c r="F2" s="104"/>
      <c r="G2" s="104"/>
    </row>
    <row r="3" spans="1:7" ht="15" customHeight="1" x14ac:dyDescent="0.3">
      <c r="A3" s="50"/>
    </row>
    <row r="4" spans="1:7" ht="31.5" customHeight="1" x14ac:dyDescent="0.3">
      <c r="A4" s="46" t="s">
        <v>172</v>
      </c>
      <c r="B4" s="46" t="s">
        <v>112</v>
      </c>
      <c r="C4" s="46" t="s">
        <v>84</v>
      </c>
      <c r="D4" s="46" t="s">
        <v>173</v>
      </c>
      <c r="E4" s="46" t="s">
        <v>114</v>
      </c>
      <c r="F4" s="46" t="s">
        <v>100</v>
      </c>
      <c r="G4" s="46" t="s">
        <v>98</v>
      </c>
    </row>
    <row r="5" spans="1:7" ht="15" customHeight="1" x14ac:dyDescent="0.3">
      <c r="A5" s="105">
        <v>46204</v>
      </c>
      <c r="B5" s="106" t="s">
        <v>139</v>
      </c>
      <c r="C5" s="134" t="str">
        <f>IF($B5="","",IFERROR(INDEX(Productos!$B:$B,MATCH($B5,Productos!$A:$A,0)),""))</f>
        <v>Agua 600 ml</v>
      </c>
      <c r="D5" s="107">
        <v>1</v>
      </c>
      <c r="E5" s="135">
        <f>IF($B5="","",IFERROR(INDEX(Productos!$E:$E,MATCH($B5,Productos!$A:$A,0)),0))</f>
        <v>1200</v>
      </c>
      <c r="F5" s="135">
        <f t="shared" ref="F5:F15" si="0">IF($B5="","",N(D5)*E5)</f>
        <v>1200</v>
      </c>
      <c r="G5" s="106" t="s">
        <v>103</v>
      </c>
    </row>
    <row r="6" spans="1:7" ht="15" customHeight="1" x14ac:dyDescent="0.3">
      <c r="A6" s="105">
        <v>46206</v>
      </c>
      <c r="B6" s="106" t="s">
        <v>136</v>
      </c>
      <c r="C6" s="134" t="str">
        <f>IF($B6="","",IFERROR(INDEX(Productos!$B:$B,MATCH($B6,Productos!$A:$A,0)),""))</f>
        <v>Gaseosa 1,5 L</v>
      </c>
      <c r="D6" s="107">
        <v>1</v>
      </c>
      <c r="E6" s="135">
        <f>IF($B6="","",IFERROR(INDEX(Productos!$E:$E,MATCH($B6,Productos!$A:$A,0)),0))</f>
        <v>3400</v>
      </c>
      <c r="F6" s="135">
        <f t="shared" si="0"/>
        <v>3400</v>
      </c>
      <c r="G6" s="106" t="s">
        <v>103</v>
      </c>
    </row>
    <row r="7" spans="1:7" ht="15" customHeight="1" x14ac:dyDescent="0.3">
      <c r="A7" s="105">
        <v>46207</v>
      </c>
      <c r="B7" s="106" t="s">
        <v>158</v>
      </c>
      <c r="C7" s="134" t="str">
        <f>IF($B7="","",IFERROR(INDEX(Productos!$B:$B,MATCH($B7,Productos!$A:$A,0)),""))</f>
        <v>Huevos AA x 12</v>
      </c>
      <c r="D7" s="107">
        <v>2</v>
      </c>
      <c r="E7" s="135">
        <f>IF($B7="","",IFERROR(INDEX(Productos!$E:$E,MATCH($B7,Productos!$A:$A,0)),0))</f>
        <v>9200</v>
      </c>
      <c r="F7" s="135">
        <f t="shared" si="0"/>
        <v>18400</v>
      </c>
      <c r="G7" s="106" t="s">
        <v>105</v>
      </c>
    </row>
    <row r="8" spans="1:7" ht="15" customHeight="1" x14ac:dyDescent="0.3">
      <c r="A8" s="105">
        <v>46208</v>
      </c>
      <c r="B8" s="106" t="s">
        <v>139</v>
      </c>
      <c r="C8" s="134" t="str">
        <f>IF($B8="","",IFERROR(INDEX(Productos!$B:$B,MATCH($B8,Productos!$A:$A,0)),""))</f>
        <v>Agua 600 ml</v>
      </c>
      <c r="D8" s="107">
        <v>1</v>
      </c>
      <c r="E8" s="135">
        <f>IF($B8="","",IFERROR(INDEX(Productos!$E:$E,MATCH($B8,Productos!$A:$A,0)),0))</f>
        <v>1200</v>
      </c>
      <c r="F8" s="135">
        <f t="shared" si="0"/>
        <v>1200</v>
      </c>
      <c r="G8" s="106" t="s">
        <v>103</v>
      </c>
    </row>
    <row r="9" spans="1:7" ht="15" customHeight="1" x14ac:dyDescent="0.3">
      <c r="A9" s="105">
        <v>46210</v>
      </c>
      <c r="B9" s="106" t="s">
        <v>139</v>
      </c>
      <c r="C9" s="134" t="str">
        <f>IF($B9="","",IFERROR(INDEX(Productos!$B:$B,MATCH($B9,Productos!$A:$A,0)),""))</f>
        <v>Agua 600 ml</v>
      </c>
      <c r="D9" s="107">
        <v>1</v>
      </c>
      <c r="E9" s="135">
        <f>IF($B9="","",IFERROR(INDEX(Productos!$E:$E,MATCH($B9,Productos!$A:$A,0)),0))</f>
        <v>1200</v>
      </c>
      <c r="F9" s="135">
        <f t="shared" si="0"/>
        <v>1200</v>
      </c>
      <c r="G9" s="106" t="s">
        <v>107</v>
      </c>
    </row>
    <row r="10" spans="1:7" ht="15" customHeight="1" x14ac:dyDescent="0.3">
      <c r="A10" s="105">
        <v>46211</v>
      </c>
      <c r="B10" s="106" t="s">
        <v>163</v>
      </c>
      <c r="C10" s="134" t="str">
        <f>IF($B10="","",IFERROR(INDEX(Productos!$B:$B,MATCH($B10,Productos!$A:$A,0)),""))</f>
        <v>Tomate kg</v>
      </c>
      <c r="D10" s="107">
        <v>1</v>
      </c>
      <c r="E10" s="135">
        <f>IF($B10="","",IFERROR(INDEX(Productos!$E:$E,MATCH($B10,Productos!$A:$A,0)),0))</f>
        <v>2800</v>
      </c>
      <c r="F10" s="135">
        <f t="shared" si="0"/>
        <v>2800</v>
      </c>
      <c r="G10" s="106" t="s">
        <v>103</v>
      </c>
    </row>
    <row r="11" spans="1:7" ht="15" customHeight="1" x14ac:dyDescent="0.3">
      <c r="A11" s="105">
        <v>46212</v>
      </c>
      <c r="B11" s="106" t="s">
        <v>168</v>
      </c>
      <c r="C11" s="134" t="str">
        <f>IF($B11="","",IFERROR(INDEX(Productos!$B:$B,MATCH($B11,Productos!$A:$A,0)),""))</f>
        <v>Banano kg</v>
      </c>
      <c r="D11" s="107">
        <v>1</v>
      </c>
      <c r="E11" s="135">
        <f>IF($B11="","",IFERROR(INDEX(Productos!$E:$E,MATCH($B11,Productos!$A:$A,0)),0))</f>
        <v>2200</v>
      </c>
      <c r="F11" s="135">
        <f t="shared" si="0"/>
        <v>2200</v>
      </c>
      <c r="G11" s="106" t="s">
        <v>105</v>
      </c>
    </row>
    <row r="12" spans="1:7" ht="15" customHeight="1" x14ac:dyDescent="0.3">
      <c r="A12" s="105">
        <v>46213</v>
      </c>
      <c r="B12" s="106" t="s">
        <v>129</v>
      </c>
      <c r="C12" s="134" t="str">
        <f>IF($B12="","",IFERROR(INDEX(Productos!$B:$B,MATCH($B12,Productos!$A:$A,0)),""))</f>
        <v>Leche entera 1 L</v>
      </c>
      <c r="D12" s="107">
        <v>1</v>
      </c>
      <c r="E12" s="135">
        <f>IF($B12="","",IFERROR(INDEX(Productos!$E:$E,MATCH($B12,Productos!$A:$A,0)),0))</f>
        <v>3100</v>
      </c>
      <c r="F12" s="135">
        <f t="shared" si="0"/>
        <v>3100</v>
      </c>
      <c r="G12" s="106" t="s">
        <v>109</v>
      </c>
    </row>
    <row r="13" spans="1:7" ht="15" customHeight="1" x14ac:dyDescent="0.3">
      <c r="A13" s="105">
        <v>46214</v>
      </c>
      <c r="B13" s="106" t="s">
        <v>129</v>
      </c>
      <c r="C13" s="134" t="str">
        <f>IF($B13="","",IFERROR(INDEX(Productos!$B:$B,MATCH($B13,Productos!$A:$A,0)),""))</f>
        <v>Leche entera 1 L</v>
      </c>
      <c r="D13" s="107">
        <v>2</v>
      </c>
      <c r="E13" s="135">
        <f>IF($B13="","",IFERROR(INDEX(Productos!$E:$E,MATCH($B13,Productos!$A:$A,0)),0))</f>
        <v>3100</v>
      </c>
      <c r="F13" s="135">
        <f t="shared" si="0"/>
        <v>6200</v>
      </c>
      <c r="G13" s="106" t="s">
        <v>103</v>
      </c>
    </row>
    <row r="14" spans="1:7" ht="15" customHeight="1" x14ac:dyDescent="0.3">
      <c r="A14" s="105">
        <v>46217</v>
      </c>
      <c r="B14" s="106" t="s">
        <v>129</v>
      </c>
      <c r="C14" s="134" t="str">
        <f>IF($B14="","",IFERROR(INDEX(Productos!$B:$B,MATCH($B14,Productos!$A:$A,0)),""))</f>
        <v>Leche entera 1 L</v>
      </c>
      <c r="D14" s="107">
        <v>1</v>
      </c>
      <c r="E14" s="135">
        <f>IF($B14="","",IFERROR(INDEX(Productos!$E:$E,MATCH($B14,Productos!$A:$A,0)),0))</f>
        <v>3100</v>
      </c>
      <c r="F14" s="135">
        <f t="shared" si="0"/>
        <v>3100</v>
      </c>
      <c r="G14" s="106" t="s">
        <v>105</v>
      </c>
    </row>
    <row r="15" spans="1:7" ht="15" customHeight="1" x14ac:dyDescent="0.3">
      <c r="A15" s="105">
        <v>46219</v>
      </c>
      <c r="B15" s="106" t="s">
        <v>158</v>
      </c>
      <c r="C15" s="134" t="str">
        <f>IF($B15="","",IFERROR(INDEX(Productos!$B:$B,MATCH($B15,Productos!$A:$A,0)),""))</f>
        <v>Huevos AA x 12</v>
      </c>
      <c r="D15" s="107">
        <v>2</v>
      </c>
      <c r="E15" s="135">
        <f>IF($B15="","",IFERROR(INDEX(Productos!$E:$E,MATCH($B15,Productos!$A:$A,0)),0))</f>
        <v>9200</v>
      </c>
      <c r="F15" s="135">
        <f t="shared" si="0"/>
        <v>18400</v>
      </c>
      <c r="G15" s="106" t="s">
        <v>103</v>
      </c>
    </row>
    <row r="16" spans="1:7" ht="15" customHeight="1" x14ac:dyDescent="0.3">
      <c r="A16" s="114"/>
      <c r="B16" s="115"/>
      <c r="C16" s="134" t="str">
        <f>IF($B16="","",IFERROR(INDEX(Productos!$B:$B,MATCH($B16,Productos!$A:$A,0)),""))</f>
        <v/>
      </c>
      <c r="D16" s="116"/>
      <c r="E16" s="135" t="str">
        <f>IF($B16="","",IFERROR(INDEX(Productos!$E:$E,MATCH($B16,Productos!$A:$A,0)),0))</f>
        <v/>
      </c>
      <c r="F16" s="135" t="str">
        <f t="shared" ref="F16" si="1">IF($B16="","",N(D16)*E16)</f>
        <v/>
      </c>
      <c r="G16" s="115"/>
    </row>
    <row r="17" spans="3:6" ht="15" customHeight="1" x14ac:dyDescent="0.3">
      <c r="C17" s="54" t="s">
        <v>71</v>
      </c>
      <c r="D17" s="121">
        <f>SUM(D5:D16)</f>
        <v>14</v>
      </c>
      <c r="F17" s="122">
        <f>SUM(F5:F16)</f>
        <v>61200</v>
      </c>
    </row>
  </sheetData>
  <sheetProtection sheet="1" objects="1" scenarios="1" insertHyperlinks="0" sort="0" autoFilter="0"/>
  <autoFilter ref="A4:G16" xr:uid="{00000000-0009-0000-0000-000005000000}"/>
  <mergeCells count="2">
    <mergeCell ref="A2:G2"/>
    <mergeCell ref="A1:G1"/>
  </mergeCells>
  <dataValidations count="1">
    <dataValidation type="list" allowBlank="1" promptTitle="Motivo" prompt="Seleccione el motivo de la merma" sqref="G5:G16" xr:uid="{00000000-0002-0000-0500-000000000000}">
      <formula1>"Vencimiento,Avería o daño,Faltante de inventario,Devolución a proveedor"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32"/>
  <sheetViews>
    <sheetView showGridLines="0" zoomScaleNormal="100" workbookViewId="0">
      <selection activeCell="B32" sqref="B32:D32"/>
    </sheetView>
  </sheetViews>
  <sheetFormatPr baseColWidth="10" defaultColWidth="8.6640625" defaultRowHeight="14.4" x14ac:dyDescent="0.3"/>
  <cols>
    <col min="1" max="1" width="3" style="4" customWidth="1"/>
    <col min="2" max="2" width="24" style="4" customWidth="1"/>
    <col min="3" max="3" width="64" style="4" customWidth="1"/>
    <col min="4" max="4" width="18" style="4" customWidth="1"/>
    <col min="5" max="5" width="4" style="4" customWidth="1"/>
    <col min="6" max="16384" width="8.6640625" style="4"/>
  </cols>
  <sheetData>
    <row r="1" spans="2:6" ht="30" customHeight="1" x14ac:dyDescent="0.3">
      <c r="B1" s="68" t="s">
        <v>178</v>
      </c>
      <c r="C1" s="69"/>
      <c r="D1" s="69"/>
    </row>
    <row r="2" spans="2:6" ht="15" customHeight="1" x14ac:dyDescent="0.3">
      <c r="B2" s="70" t="s">
        <v>179</v>
      </c>
      <c r="C2" s="71"/>
      <c r="D2" s="71"/>
    </row>
    <row r="4" spans="2:6" ht="15" customHeight="1" x14ac:dyDescent="0.3">
      <c r="B4" s="74" t="s">
        <v>180</v>
      </c>
      <c r="C4" s="69"/>
      <c r="D4" s="69"/>
    </row>
    <row r="5" spans="2:6" ht="15" customHeight="1" x14ac:dyDescent="0.3">
      <c r="B5" s="69"/>
      <c r="C5" s="69"/>
      <c r="D5" s="69"/>
    </row>
    <row r="6" spans="2:6" ht="15" customHeight="1" x14ac:dyDescent="0.3">
      <c r="B6" s="69"/>
      <c r="C6" s="69"/>
      <c r="D6" s="69"/>
    </row>
    <row r="7" spans="2:6" ht="30.6" customHeight="1" x14ac:dyDescent="0.3">
      <c r="B7" s="69"/>
      <c r="C7" s="69"/>
      <c r="D7" s="69"/>
    </row>
    <row r="9" spans="2:6" ht="15" customHeight="1" x14ac:dyDescent="0.3">
      <c r="B9" s="58" t="s">
        <v>181</v>
      </c>
    </row>
    <row r="10" spans="2:6" ht="15" customHeight="1" x14ac:dyDescent="0.3">
      <c r="B10" s="55" t="s">
        <v>182</v>
      </c>
      <c r="C10" s="57" t="s">
        <v>183</v>
      </c>
      <c r="F10" s="4" t="s">
        <v>218</v>
      </c>
    </row>
    <row r="11" spans="2:6" ht="15" customHeight="1" x14ac:dyDescent="0.3">
      <c r="B11" s="55" t="s">
        <v>182</v>
      </c>
      <c r="C11" s="57" t="s">
        <v>184</v>
      </c>
    </row>
    <row r="12" spans="2:6" ht="15" customHeight="1" x14ac:dyDescent="0.3">
      <c r="B12" s="55" t="s">
        <v>182</v>
      </c>
      <c r="C12" s="57" t="s">
        <v>185</v>
      </c>
    </row>
    <row r="13" spans="2:6" ht="15" customHeight="1" x14ac:dyDescent="0.3">
      <c r="B13" s="55" t="s">
        <v>182</v>
      </c>
      <c r="C13" s="57" t="s">
        <v>186</v>
      </c>
    </row>
    <row r="14" spans="2:6" ht="15" customHeight="1" x14ac:dyDescent="0.3">
      <c r="B14" s="55" t="s">
        <v>182</v>
      </c>
      <c r="C14" s="57" t="s">
        <v>187</v>
      </c>
    </row>
    <row r="15" spans="2:6" ht="15" customHeight="1" x14ac:dyDescent="0.3">
      <c r="B15" s="55" t="s">
        <v>182</v>
      </c>
      <c r="C15" s="57" t="s">
        <v>188</v>
      </c>
    </row>
    <row r="17" spans="2:4" ht="15" customHeight="1" x14ac:dyDescent="0.3">
      <c r="B17" s="58" t="s">
        <v>189</v>
      </c>
    </row>
    <row r="18" spans="2:4" ht="24" customHeight="1" x14ac:dyDescent="0.3">
      <c r="B18" s="56" t="s">
        <v>190</v>
      </c>
      <c r="C18" s="56" t="s">
        <v>191</v>
      </c>
      <c r="D18" s="56" t="s">
        <v>192</v>
      </c>
    </row>
    <row r="19" spans="2:4" ht="15.75" customHeight="1" x14ac:dyDescent="0.3">
      <c r="B19" s="59" t="s">
        <v>193</v>
      </c>
      <c r="C19" s="60" t="s">
        <v>194</v>
      </c>
      <c r="D19" s="61" t="s">
        <v>195</v>
      </c>
    </row>
    <row r="20" spans="2:4" ht="15.75" customHeight="1" x14ac:dyDescent="0.3">
      <c r="B20" s="62" t="s">
        <v>196</v>
      </c>
      <c r="C20" s="63" t="s">
        <v>197</v>
      </c>
      <c r="D20" s="64" t="s">
        <v>195</v>
      </c>
    </row>
    <row r="21" spans="2:4" ht="15.75" customHeight="1" x14ac:dyDescent="0.3">
      <c r="B21" s="59" t="s">
        <v>198</v>
      </c>
      <c r="C21" s="60" t="s">
        <v>199</v>
      </c>
      <c r="D21" s="61" t="s">
        <v>195</v>
      </c>
    </row>
    <row r="22" spans="2:4" ht="15.75" customHeight="1" x14ac:dyDescent="0.3">
      <c r="B22" s="62" t="s">
        <v>200</v>
      </c>
      <c r="C22" s="63" t="s">
        <v>201</v>
      </c>
      <c r="D22" s="64" t="s">
        <v>195</v>
      </c>
    </row>
    <row r="23" spans="2:4" ht="15.75" customHeight="1" x14ac:dyDescent="0.3">
      <c r="B23" s="59" t="s">
        <v>202</v>
      </c>
      <c r="C23" s="60" t="s">
        <v>203</v>
      </c>
      <c r="D23" s="61" t="s">
        <v>204</v>
      </c>
    </row>
    <row r="24" spans="2:4" ht="15.75" customHeight="1" x14ac:dyDescent="0.3">
      <c r="B24" s="62" t="s">
        <v>205</v>
      </c>
      <c r="C24" s="63" t="s">
        <v>206</v>
      </c>
      <c r="D24" s="64" t="s">
        <v>207</v>
      </c>
    </row>
    <row r="25" spans="2:4" ht="15.75" customHeight="1" x14ac:dyDescent="0.3">
      <c r="B25" s="59" t="s">
        <v>208</v>
      </c>
      <c r="C25" s="60" t="s">
        <v>209</v>
      </c>
      <c r="D25" s="61" t="s">
        <v>210</v>
      </c>
    </row>
    <row r="28" spans="2:4" ht="15" customHeight="1" x14ac:dyDescent="0.3">
      <c r="B28" s="72" t="s">
        <v>216</v>
      </c>
      <c r="C28" s="73"/>
      <c r="D28" s="73"/>
    </row>
    <row r="29" spans="2:4" ht="15" customHeight="1" x14ac:dyDescent="0.3">
      <c r="B29" s="73"/>
      <c r="C29" s="73"/>
      <c r="D29" s="73"/>
    </row>
    <row r="30" spans="2:4" ht="15" customHeight="1" x14ac:dyDescent="0.3">
      <c r="B30" s="73"/>
      <c r="C30" s="73"/>
      <c r="D30" s="73"/>
    </row>
    <row r="32" spans="2:4" x14ac:dyDescent="0.3">
      <c r="B32" s="75" t="s">
        <v>217</v>
      </c>
      <c r="C32" s="75"/>
      <c r="D32" s="75"/>
    </row>
  </sheetData>
  <sheetProtection sheet="1" objects="1" scenarios="1" insertHyperlinks="0" sort="0" autoFilter="0"/>
  <mergeCells count="5">
    <mergeCell ref="B1:D1"/>
    <mergeCell ref="B2:D2"/>
    <mergeCell ref="B28:D30"/>
    <mergeCell ref="B4:D7"/>
    <mergeCell ref="B32:D3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Tablero</vt:lpstr>
      <vt:lpstr>Instrucciones</vt:lpstr>
      <vt:lpstr>Productos</vt:lpstr>
      <vt:lpstr>Compras</vt:lpstr>
      <vt:lpstr>Ventas</vt:lpstr>
      <vt:lpstr>Mermas</vt:lpstr>
      <vt:lpstr>Servicios ADIMCLO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ADIMCLO SAS</dc:creator>
  <cp:lastModifiedBy>Viviana Daconte</cp:lastModifiedBy>
  <cp:revision>1</cp:revision>
  <dcterms:created xsi:type="dcterms:W3CDTF">2026-08-01T19:12:42Z</dcterms:created>
  <dcterms:modified xsi:type="dcterms:W3CDTF">2026-08-05T21:19:50Z</dcterms:modified>
  <dc:language>en-US</dc:language>
</cp:coreProperties>
</file>