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Inicio" sheetId="1" state="visible" r:id="rId1"/>
    <sheet xmlns:r="http://schemas.openxmlformats.org/officeDocument/2006/relationships" name="Tiendas" sheetId="2" state="visible" r:id="rId2"/>
    <sheet xmlns:r="http://schemas.openxmlformats.org/officeDocument/2006/relationships" name="Productos" sheetId="3" state="visible" r:id="rId3"/>
    <sheet xmlns:r="http://schemas.openxmlformats.org/officeDocument/2006/relationships" name="Inventario por tienda" sheetId="4" state="visible" r:id="rId4"/>
    <sheet xmlns:r="http://schemas.openxmlformats.org/officeDocument/2006/relationships" name="Ventas" sheetId="5" state="visible" r:id="rId5"/>
    <sheet xmlns:r="http://schemas.openxmlformats.org/officeDocument/2006/relationships" name="Tablero" sheetId="6" state="visible" r:id="rId6"/>
    <sheet xmlns:r="http://schemas.openxmlformats.org/officeDocument/2006/relationships" name="Servicios ADIMCLO" sheetId="7" state="visible" r:id="rId7"/>
  </sheets>
  <definedNames/>
  <calcPr calcId="124519" fullCalcOnLoad="1" refMode="A1" iterate="0" iterateCount="100" iterateDelta="0.0001"/>
</workbook>
</file>

<file path=xl/styles.xml><?xml version="1.0" encoding="utf-8"?>
<styleSheet xmlns="http://schemas.openxmlformats.org/spreadsheetml/2006/main">
  <numFmts count="8">
    <numFmt numFmtId="164" formatCode="0.0%"/>
    <numFmt numFmtId="165" formatCode="dd/mm/yyyy"/>
    <numFmt numFmtId="166" formatCode="\$#,##0;&quot;($&quot;#,##0\);\-"/>
    <numFmt numFmtId="167" formatCode="#,##0;;;"/>
    <numFmt numFmtId="168" formatCode="\$#,##0;&quot;($&quot;#,##0\);;"/>
    <numFmt numFmtId="169" formatCode="#,##0.0;;;"/>
    <numFmt numFmtId="170" formatCode="DD/MM/YYYY"/>
    <numFmt numFmtId="171" formatCode="&quot;$&quot;#,##0"/>
  </numFmts>
  <fonts count="43">
    <font>
      <name val="Calibri"/>
      <charset val="1"/>
      <family val="2"/>
      <color theme="1"/>
      <sz val="11"/>
    </font>
    <font>
      <name val="Arial"/>
      <family val="0"/>
      <sz val="10"/>
    </font>
    <font>
      <name val="Arial"/>
      <family val="0"/>
      <sz val="10"/>
    </font>
    <font>
      <name val="Arial"/>
      <family val="0"/>
      <sz val="10"/>
    </font>
    <font>
      <name val="Arial"/>
      <charset val="1"/>
      <family val="0"/>
      <b val="1"/>
      <color rgb="FFFFFFFF"/>
      <sz val="14"/>
    </font>
    <font>
      <name val="Arial"/>
      <charset val="1"/>
      <family val="0"/>
      <color rgb="FFFFFFFF"/>
      <sz val="9"/>
    </font>
    <font>
      <name val="Arial"/>
      <charset val="1"/>
      <family val="0"/>
      <b val="1"/>
      <color rgb="FF1F7A6C"/>
      <sz val="11"/>
    </font>
    <font>
      <name val="Arial"/>
      <charset val="1"/>
      <family val="0"/>
      <b val="1"/>
      <color rgb="FF14324F"/>
      <sz val="11"/>
    </font>
    <font>
      <name val="Arial"/>
      <charset val="1"/>
      <family val="0"/>
      <b val="1"/>
      <color rgb="FF000000"/>
      <sz val="10"/>
    </font>
    <font>
      <name val="Arial"/>
      <charset val="1"/>
      <family val="0"/>
      <color rgb="FF000000"/>
      <sz val="9"/>
    </font>
    <font>
      <name val="Arial"/>
      <charset val="1"/>
      <family val="0"/>
      <b val="1"/>
      <color rgb="FFFFFFFF"/>
      <sz val="9"/>
    </font>
    <font>
      <name val="Arial"/>
      <charset val="1"/>
      <family val="0"/>
      <b val="1"/>
      <color rgb="FF0000FF"/>
      <sz val="10"/>
    </font>
    <font>
      <name val="Arial"/>
      <charset val="1"/>
      <family val="0"/>
      <i val="1"/>
      <color rgb="FF6B7280"/>
      <sz val="8"/>
    </font>
    <font>
      <name val="Arial"/>
      <charset val="1"/>
      <family val="0"/>
      <color rgb="FF0000FF"/>
      <sz val="9"/>
    </font>
    <font>
      <name val="Arial"/>
      <charset val="1"/>
      <family val="0"/>
      <b val="1"/>
      <color rgb="FF14324F"/>
      <sz val="9"/>
    </font>
    <font>
      <name val="Arial"/>
      <charset val="1"/>
      <family val="0"/>
      <b val="1"/>
      <color rgb="FF1F7A6C"/>
      <sz val="16"/>
    </font>
    <font>
      <name val="Arial"/>
      <charset val="1"/>
      <family val="0"/>
      <b val="1"/>
      <color rgb="FF1F7A6C"/>
      <sz val="10"/>
    </font>
    <font>
      <name val="Arial"/>
      <charset val="1"/>
      <family val="0"/>
      <b val="1"/>
      <color rgb="FFFFFFFF"/>
      <sz val="10"/>
    </font>
    <font>
      <name val="Arial"/>
      <charset val="1"/>
      <family val="0"/>
      <color rgb="FF6B7280"/>
      <sz val="9"/>
    </font>
    <font>
      <name val="Arial"/>
      <charset val="1"/>
      <family val="0"/>
      <b val="1"/>
      <color rgb="FF1F7A6C"/>
      <sz val="12"/>
    </font>
    <font>
      <name val="Arial"/>
      <charset val="1"/>
      <family val="0"/>
      <b val="1"/>
      <color rgb="FF14324F"/>
      <sz val="10"/>
    </font>
    <font>
      <name val="Arial"/>
      <charset val="1"/>
      <family val="0"/>
      <b val="1"/>
      <color rgb="FFFFFFFF"/>
      <sz val="11"/>
    </font>
    <font>
      <name val="Arial"/>
      <color rgb="FFFFFFFF"/>
      <sz val="10"/>
    </font>
    <font>
      <name val="Arial"/>
      <b val="1"/>
      <color rgb="FFFFFFFF"/>
      <sz val="17"/>
    </font>
    <font>
      <name val="Arial"/>
      <color rgb="FF9BA8D4"/>
      <sz val="9.5"/>
    </font>
    <font>
      <name val="Arial"/>
      <b val="1"/>
      <color rgb="FF9BA8D4"/>
      <sz val="8.5"/>
    </font>
    <font>
      <name val="Arial"/>
      <b val="1"/>
      <color rgb="FFFFFFFF"/>
      <sz val="20"/>
    </font>
    <font>
      <name val="Arial"/>
      <b val="1"/>
      <color rgb="FFFFFFFF"/>
      <sz val="12"/>
    </font>
    <font>
      <name val="Arial"/>
      <color rgb="FF6B7AB0"/>
      <sz val="8.5"/>
    </font>
    <font>
      <name val="Arial"/>
      <color rgb="FFFFFFFF"/>
      <sz val="9.5"/>
    </font>
    <font>
      <name val="Arial"/>
      <b val="1"/>
      <color rgb="FFFFFFFF"/>
      <sz val="9.5"/>
    </font>
    <font>
      <name val="Arial"/>
      <color rgb="FF9BA8D4"/>
      <sz val="9"/>
    </font>
    <font>
      <name val="Arial"/>
      <i val="1"/>
      <color rgb="FF6B7AB0"/>
      <sz val="8.5"/>
    </font>
    <font>
      <name val="Arial"/>
      <b val="1"/>
      <color rgb="FFFFFFFF"/>
      <sz val="14"/>
    </font>
    <font>
      <name val="Arial"/>
      <color rgb="FF767DAE"/>
      <sz val="9"/>
    </font>
    <font>
      <name val="Arial"/>
      <color rgb="FF1F2A44"/>
      <sz val="10"/>
    </font>
    <font>
      <name val="Arial"/>
      <b val="1"/>
      <color rgb="FF1F3864"/>
      <sz val="11"/>
    </font>
    <font>
      <name val="Arial"/>
      <color rgb="FF0B7A8C"/>
      <sz val="10"/>
    </font>
    <font>
      <name val="Arial"/>
      <b val="1"/>
      <color rgb="FFFFFFFF"/>
      <sz val="9"/>
    </font>
    <font>
      <name val="Arial"/>
      <b val="1"/>
      <color rgb="FF0B7A8C"/>
      <sz val="10"/>
    </font>
    <font>
      <name val="Arial"/>
      <color rgb="FF1F2A44"/>
      <sz val="9"/>
    </font>
    <font>
      <name val="Arial"/>
      <i val="1"/>
      <color rgb="FF767DAE"/>
      <sz val="8"/>
    </font>
    <font>
      <name val="Arial"/>
      <color rgb="FF0000FF"/>
      <sz val="10"/>
    </font>
  </fonts>
  <fills count="22">
    <fill>
      <patternFill/>
    </fill>
    <fill>
      <patternFill patternType="gray125"/>
    </fill>
    <fill>
      <patternFill patternType="solid">
        <fgColor rgb="FF14324F"/>
        <bgColor rgb="FF333333"/>
      </patternFill>
    </fill>
    <fill>
      <patternFill patternType="solid">
        <fgColor rgb="FF1F7A6C"/>
        <bgColor rgb="FF008080"/>
      </patternFill>
    </fill>
    <fill>
      <patternFill patternType="solid">
        <fgColor rgb="FFFFF2CC"/>
        <bgColor rgb="FFEAF0F4"/>
      </patternFill>
    </fill>
    <fill>
      <patternFill patternType="solid">
        <fgColor rgb="FFFFFFFF"/>
        <bgColor rgb="FFEAF0F4"/>
      </patternFill>
    </fill>
    <fill>
      <patternFill patternType="solid">
        <fgColor rgb="FFEAF0F4"/>
        <bgColor rgb="FFFFFFFF"/>
      </patternFill>
    </fill>
    <fill>
      <patternFill patternType="solid">
        <fgColor rgb="FF070E33"/>
      </patternFill>
    </fill>
    <fill>
      <patternFill patternType="solid">
        <fgColor rgb="FF111C52"/>
      </patternFill>
    </fill>
    <fill>
      <patternFill patternType="solid">
        <fgColor rgb="FF00D9B2"/>
      </patternFill>
    </fill>
    <fill>
      <patternFill patternType="solid">
        <fgColor rgb="FF4C8DFF"/>
      </patternFill>
    </fill>
    <fill>
      <patternFill patternType="solid">
        <fgColor rgb="FFFFB020"/>
      </patternFill>
    </fill>
    <fill>
      <patternFill patternType="solid">
        <fgColor rgb="FFA98BFA"/>
      </patternFill>
    </fill>
    <fill>
      <patternFill patternType="solid">
        <fgColor rgb="FF38BDF8"/>
      </patternFill>
    </fill>
    <fill>
      <patternFill patternType="solid">
        <fgColor rgb="FFFF5A6A"/>
      </patternFill>
    </fill>
    <fill>
      <patternFill patternType="solid">
        <fgColor rgb="FF3DD68C"/>
      </patternFill>
    </fill>
    <fill>
      <patternFill patternType="solid">
        <fgColor rgb="FFF472B6"/>
      </patternFill>
    </fill>
    <fill>
      <patternFill patternType="solid">
        <fgColor rgb="FF1A2761"/>
      </patternFill>
    </fill>
    <fill>
      <patternFill patternType="solid">
        <fgColor rgb="FF0D1743"/>
      </patternFill>
    </fill>
    <fill>
      <patternFill patternType="solid">
        <fgColor rgb="FF1F3864"/>
      </patternFill>
    </fill>
    <fill>
      <patternFill patternType="solid">
        <fgColor rgb="FFEAF1FC"/>
      </patternFill>
    </fill>
    <fill>
      <patternFill patternType="solid">
        <fgColor rgb="FFFFFF00"/>
      </patternFill>
    </fill>
  </fills>
  <borders count="21">
    <border>
      <left/>
      <right/>
      <top/>
      <bottom/>
      <diagonal/>
    </border>
    <border>
      <left style="thin">
        <color rgb="FFB7C4CE"/>
      </left>
      <right style="thin">
        <color rgb="FFB7C4CE"/>
      </right>
      <top style="thin">
        <color rgb="FFB7C4CE"/>
      </top>
      <bottom style="thin">
        <color rgb="FFB7C4CE"/>
      </bottom>
      <diagonal/>
    </border>
    <border>
      <left style="thin">
        <color rgb="FFB7C4CE"/>
      </left>
      <right/>
      <top style="thin">
        <color rgb="FFB7C4CE"/>
      </top>
      <bottom style="thin">
        <color rgb="FFB7C4CE"/>
      </bottom>
      <diagonal/>
    </border>
    <border>
      <left/>
      <right/>
      <top style="thin">
        <color rgb="FFB7C4CE"/>
      </top>
      <bottom/>
      <diagonal/>
    </border>
    <border>
      <left/>
      <right/>
      <top style="thin">
        <color rgb="FFB7C4CE"/>
      </top>
      <bottom style="thin">
        <color rgb="FFB7C4CE"/>
      </bottom>
      <diagonal/>
    </border>
    <border/>
    <border>
      <left style="thin">
        <color rgb="FF23306E"/>
      </left>
      <top style="thin">
        <color rgb="FF23306E"/>
      </top>
    </border>
    <border>
      <right style="thin">
        <color rgb="FF23306E"/>
      </right>
      <top style="thin">
        <color rgb="FF23306E"/>
      </top>
    </border>
    <border>
      <left style="thin">
        <color rgb="FF23306E"/>
      </left>
    </border>
    <border>
      <right style="thin">
        <color rgb="FF23306E"/>
      </right>
    </border>
    <border>
      <left style="thin">
        <color rgb="FF23306E"/>
      </left>
      <bottom style="thin">
        <color rgb="FF23306E"/>
      </bottom>
    </border>
    <border>
      <right style="thin">
        <color rgb="FF23306E"/>
      </right>
      <bottom style="thin">
        <color rgb="FF23306E"/>
      </bottom>
    </border>
    <border>
      <top style="thin">
        <color rgb="FF23306E"/>
      </top>
    </border>
    <border>
      <bottom style="thin">
        <color rgb="FF23306E"/>
      </bottom>
    </border>
    <border>
      <left style="thin">
        <color rgb="FF23306E"/>
      </left>
      <right style="thin">
        <color rgb="FF23306E"/>
      </right>
    </border>
    <border>
      <left/>
      <right style="thin">
        <color rgb="FF23306E"/>
      </right>
      <top/>
      <bottom/>
      <diagonal/>
    </border>
    <border>
      <left style="thin">
        <color rgb="FF23306E"/>
      </left>
      <right style="thin">
        <color rgb="FF23306E"/>
      </right>
      <bottom/>
    </border>
    <border>
      <left style="thin">
        <color rgb="FF23306E"/>
      </left>
      <right style="thin">
        <color rgb="FF23306E"/>
      </right>
      <bottom style="thin">
        <color rgb="FF23306E"/>
      </bottom>
    </border>
    <border>
      <left/>
      <right style="thin">
        <color rgb="FF23306E"/>
      </right>
      <top/>
      <bottom style="thin">
        <color rgb="FF23306E"/>
      </bottom>
      <diagonal/>
    </border>
    <border>
      <left/>
      <right/>
      <top/>
      <bottom style="thin">
        <color rgb="FF23306E"/>
      </bottom>
      <diagonal/>
    </border>
    <border>
      <bottom style="thin">
        <color rgb="FFD5DCEA"/>
      </bottom>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188">
    <xf numFmtId="0" fontId="0" fillId="0" borderId="0" applyAlignment="1" pivotButton="0" quotePrefix="0" xfId="0">
      <alignment horizontal="general" vertical="bottom"/>
    </xf>
    <xf numFmtId="0" fontId="4" fillId="2" borderId="0" applyAlignment="1" pivotButton="0" quotePrefix="0" xfId="0">
      <alignment horizontal="left" vertical="center" indent="1"/>
    </xf>
    <xf numFmtId="0" fontId="5" fillId="3" borderId="0" applyAlignment="1" pivotButton="0" quotePrefix="0" xfId="0">
      <alignment horizontal="left" vertical="center" indent="1"/>
    </xf>
    <xf numFmtId="0" fontId="6" fillId="0" borderId="0" applyAlignment="1" pivotButton="0" quotePrefix="0" xfId="0">
      <alignment horizontal="general" vertical="top" wrapText="1"/>
    </xf>
    <xf numFmtId="0" fontId="7" fillId="0" borderId="0" applyAlignment="1" pivotButton="0" quotePrefix="0" xfId="0">
      <alignment horizontal="general" vertical="bottom"/>
    </xf>
    <xf numFmtId="0" fontId="8" fillId="0" borderId="0" applyAlignment="1" pivotButton="0" quotePrefix="0" xfId="0">
      <alignment horizontal="general" vertical="center"/>
    </xf>
    <xf numFmtId="0" fontId="9" fillId="0" borderId="0" applyAlignment="1" pivotButton="0" quotePrefix="0" xfId="0">
      <alignment horizontal="general" vertical="center" wrapText="1"/>
    </xf>
    <xf numFmtId="0" fontId="0" fillId="4" borderId="1" applyAlignment="1" pivotButton="0" quotePrefix="0" xfId="0">
      <alignment horizontal="general" vertical="bottom"/>
    </xf>
    <xf numFmtId="0" fontId="9" fillId="0" borderId="0" applyAlignment="1" pivotButton="0" quotePrefix="0" xfId="0">
      <alignment horizontal="general" vertical="bottom"/>
    </xf>
    <xf numFmtId="0" fontId="0" fillId="5" borderId="1" applyAlignment="1" pivotButton="0" quotePrefix="0" xfId="0">
      <alignment horizontal="general" vertical="bottom"/>
    </xf>
    <xf numFmtId="0" fontId="0" fillId="6" borderId="1" applyAlignment="1" pivotButton="0" quotePrefix="0" xfId="0">
      <alignment horizontal="general" vertical="bottom"/>
    </xf>
    <xf numFmtId="0" fontId="10" fillId="2" borderId="0" applyAlignment="1" pivotButton="0" quotePrefix="0" xfId="0">
      <alignment horizontal="center" vertical="center"/>
    </xf>
    <xf numFmtId="0" fontId="9" fillId="0" borderId="1" applyAlignment="1" pivotButton="0" quotePrefix="0" xfId="0">
      <alignment horizontal="general" vertical="bottom"/>
    </xf>
    <xf numFmtId="3" fontId="11" fillId="4" borderId="1" applyAlignment="1" pivotButton="0" quotePrefix="0" xfId="0">
      <alignment horizontal="center" vertical="bottom"/>
    </xf>
    <xf numFmtId="164" fontId="11" fillId="4" borderId="1" applyAlignment="1" pivotButton="0" quotePrefix="0" xfId="0">
      <alignment horizontal="center" vertical="bottom"/>
    </xf>
    <xf numFmtId="0" fontId="12" fillId="0" borderId="0" applyAlignment="1" pivotButton="0" quotePrefix="0" xfId="0">
      <alignment horizontal="left" vertical="top" wrapText="1"/>
    </xf>
    <xf numFmtId="0" fontId="10" fillId="2" borderId="1" applyAlignment="1" pivotButton="0" quotePrefix="0" xfId="0">
      <alignment horizontal="center" vertical="center" wrapText="1"/>
    </xf>
    <xf numFmtId="0" fontId="13" fillId="4" borderId="1" applyAlignment="1" pivotButton="0" quotePrefix="0" xfId="0">
      <alignment horizontal="general" vertical="bottom"/>
    </xf>
    <xf numFmtId="165" fontId="13" fillId="4" borderId="1" applyAlignment="1" pivotButton="0" quotePrefix="0" xfId="0">
      <alignment horizontal="general" vertical="bottom"/>
    </xf>
    <xf numFmtId="166" fontId="13" fillId="4" borderId="1" applyAlignment="1" pivotButton="0" quotePrefix="0" xfId="0">
      <alignment horizontal="general" vertical="bottom"/>
    </xf>
    <xf numFmtId="164" fontId="13" fillId="4" borderId="1" applyAlignment="1" pivotButton="0" quotePrefix="0" xfId="0">
      <alignment horizontal="general" vertical="bottom"/>
    </xf>
    <xf numFmtId="166" fontId="9" fillId="0" borderId="1" applyAlignment="1" pivotButton="0" quotePrefix="0" xfId="0">
      <alignment horizontal="general" vertical="bottom"/>
    </xf>
    <xf numFmtId="164" fontId="9" fillId="0" borderId="1" applyAlignment="1" pivotButton="0" quotePrefix="0" xfId="0">
      <alignment horizontal="general" vertical="bottom"/>
    </xf>
    <xf numFmtId="167" fontId="9" fillId="0" borderId="1" applyAlignment="1" pivotButton="0" quotePrefix="0" xfId="0">
      <alignment horizontal="general" vertical="bottom"/>
    </xf>
    <xf numFmtId="168" fontId="9" fillId="0" borderId="1" applyAlignment="1" pivotButton="0" quotePrefix="0" xfId="0">
      <alignment horizontal="general" vertical="bottom"/>
    </xf>
    <xf numFmtId="169" fontId="9" fillId="0" borderId="1" applyAlignment="1" pivotButton="0" quotePrefix="0" xfId="0">
      <alignment horizontal="general" vertical="bottom"/>
    </xf>
    <xf numFmtId="3" fontId="9" fillId="0" borderId="1" applyAlignment="1" pivotButton="0" quotePrefix="0" xfId="0">
      <alignment horizontal="center" vertical="bottom"/>
    </xf>
    <xf numFmtId="0" fontId="9" fillId="0" borderId="1" applyAlignment="1" pivotButton="0" quotePrefix="0" xfId="0">
      <alignment horizontal="center" vertical="bottom"/>
    </xf>
    <xf numFmtId="0" fontId="14" fillId="6" borderId="2" applyAlignment="1" pivotButton="0" quotePrefix="0" xfId="0">
      <alignment horizontal="left" vertical="center" indent="1"/>
    </xf>
    <xf numFmtId="166" fontId="15" fillId="0" borderId="2" applyAlignment="1" pivotButton="0" quotePrefix="0" xfId="0">
      <alignment horizontal="center" vertical="center"/>
    </xf>
    <xf numFmtId="164" fontId="15" fillId="0" borderId="2" applyAlignment="1" pivotButton="0" quotePrefix="0" xfId="0">
      <alignment horizontal="center" vertical="center"/>
    </xf>
    <xf numFmtId="3" fontId="15" fillId="0" borderId="2" applyAlignment="1" pivotButton="0" quotePrefix="0" xfId="0">
      <alignment horizontal="center" vertical="center"/>
    </xf>
    <xf numFmtId="166" fontId="9" fillId="0" borderId="1" applyAlignment="1" pivotButton="0" quotePrefix="0" xfId="0">
      <alignment horizontal="center" vertical="bottom"/>
    </xf>
    <xf numFmtId="164" fontId="9" fillId="0" borderId="1" applyAlignment="1" pivotButton="0" quotePrefix="0" xfId="0">
      <alignment horizontal="center" vertical="bottom"/>
    </xf>
    <xf numFmtId="2" fontId="9" fillId="0" borderId="1" applyAlignment="1" pivotButton="0" quotePrefix="0" xfId="0">
      <alignment horizontal="center" vertical="bottom"/>
    </xf>
    <xf numFmtId="166" fontId="16" fillId="6" borderId="1" applyAlignment="1" pivotButton="0" quotePrefix="0" xfId="0">
      <alignment horizontal="center" vertical="bottom"/>
    </xf>
    <xf numFmtId="3" fontId="16" fillId="6" borderId="1" applyAlignment="1" pivotButton="0" quotePrefix="0" xfId="0">
      <alignment horizontal="center" vertical="bottom"/>
    </xf>
    <xf numFmtId="164" fontId="16" fillId="6" borderId="1" applyAlignment="1" pivotButton="0" quotePrefix="0" xfId="0">
      <alignment horizontal="center" vertical="bottom"/>
    </xf>
    <xf numFmtId="0" fontId="14" fillId="0" borderId="1" applyAlignment="1" pivotButton="0" quotePrefix="0" xfId="0">
      <alignment horizontal="general" vertical="bottom"/>
    </xf>
    <xf numFmtId="0" fontId="9" fillId="0" borderId="1" applyAlignment="1" pivotButton="0" quotePrefix="0" xfId="0">
      <alignment horizontal="general" vertical="center" wrapText="1"/>
    </xf>
    <xf numFmtId="0" fontId="17" fillId="3" borderId="0" applyAlignment="1" pivotButton="0" quotePrefix="0" xfId="0">
      <alignment horizontal="center" vertical="center"/>
    </xf>
    <xf numFmtId="0" fontId="18" fillId="0" borderId="0" applyAlignment="1" pivotButton="0" quotePrefix="0" xfId="0">
      <alignment horizontal="general" vertical="bottom"/>
    </xf>
    <xf numFmtId="0" fontId="7" fillId="0" borderId="0" applyAlignment="1" pivotButton="0" quotePrefix="0" xfId="0">
      <alignment horizontal="general" vertical="top" wrapText="1"/>
    </xf>
    <xf numFmtId="0" fontId="19" fillId="0" borderId="0" applyAlignment="1" pivotButton="0" quotePrefix="0" xfId="0">
      <alignment horizontal="general" vertical="bottom"/>
    </xf>
    <xf numFmtId="0" fontId="20" fillId="6" borderId="1" applyAlignment="1" pivotButton="0" quotePrefix="0" xfId="0">
      <alignment horizontal="left" vertical="center" indent="1"/>
    </xf>
    <xf numFmtId="0" fontId="21" fillId="3" borderId="0" applyAlignment="1" pivotButton="0" quotePrefix="0" xfId="0">
      <alignment horizontal="center" vertical="center"/>
    </xf>
    <xf numFmtId="0" fontId="0" fillId="0" borderId="0" applyAlignment="1" pivotButton="0" quotePrefix="0" xfId="0">
      <alignment horizontal="general" vertical="bottom"/>
    </xf>
    <xf numFmtId="0" fontId="0" fillId="0" borderId="0" pivotButton="0" quotePrefix="0" xfId="0"/>
    <xf numFmtId="0" fontId="4" fillId="2" borderId="0" applyAlignment="1" pivotButton="0" quotePrefix="0" xfId="0">
      <alignment horizontal="left" vertical="center" indent="1"/>
    </xf>
    <xf numFmtId="0" fontId="5" fillId="3" borderId="0" applyAlignment="1" pivotButton="0" quotePrefix="0" xfId="0">
      <alignment horizontal="left" vertical="center" indent="1"/>
    </xf>
    <xf numFmtId="0" fontId="6" fillId="0" borderId="0" applyAlignment="1" pivotButton="0" quotePrefix="0" xfId="0">
      <alignment horizontal="general" vertical="top" wrapText="1"/>
    </xf>
    <xf numFmtId="0" fontId="7" fillId="0" borderId="0" applyAlignment="1" pivotButton="0" quotePrefix="0" xfId="0">
      <alignment horizontal="general" vertical="bottom"/>
    </xf>
    <xf numFmtId="0" fontId="8" fillId="0" borderId="0" applyAlignment="1" pivotButton="0" quotePrefix="0" xfId="0">
      <alignment horizontal="general" vertical="center"/>
    </xf>
    <xf numFmtId="0" fontId="9" fillId="0" borderId="0" applyAlignment="1" pivotButton="0" quotePrefix="0" xfId="0">
      <alignment horizontal="general" vertical="center" wrapText="1"/>
    </xf>
    <xf numFmtId="0" fontId="0" fillId="4" borderId="1" applyAlignment="1" pivotButton="0" quotePrefix="0" xfId="0">
      <alignment horizontal="general" vertical="bottom"/>
    </xf>
    <xf numFmtId="0" fontId="9" fillId="0" borderId="0" applyAlignment="1" pivotButton="0" quotePrefix="0" xfId="0">
      <alignment horizontal="general" vertical="bottom"/>
    </xf>
    <xf numFmtId="0" fontId="0" fillId="5" borderId="1" applyAlignment="1" pivotButton="0" quotePrefix="0" xfId="0">
      <alignment horizontal="general" vertical="bottom"/>
    </xf>
    <xf numFmtId="0" fontId="0" fillId="6" borderId="1" applyAlignment="1" pivotButton="0" quotePrefix="0" xfId="0">
      <alignment horizontal="general" vertical="bottom"/>
    </xf>
    <xf numFmtId="0" fontId="10" fillId="2" borderId="0" applyAlignment="1" pivotButton="0" quotePrefix="0" xfId="0">
      <alignment horizontal="center" vertical="center"/>
    </xf>
    <xf numFmtId="0" fontId="9" fillId="0" borderId="1" applyAlignment="1" pivotButton="0" quotePrefix="0" xfId="0">
      <alignment horizontal="general" vertical="bottom"/>
    </xf>
    <xf numFmtId="3" fontId="11" fillId="4" borderId="1" applyAlignment="1" pivotButton="0" quotePrefix="0" xfId="0">
      <alignment horizontal="center" vertical="bottom"/>
    </xf>
    <xf numFmtId="164" fontId="11" fillId="4" borderId="1" applyAlignment="1" pivotButton="0" quotePrefix="0" xfId="0">
      <alignment horizontal="center" vertical="bottom"/>
    </xf>
    <xf numFmtId="0" fontId="12" fillId="0" borderId="0" applyAlignment="1" pivotButton="0" quotePrefix="0" xfId="0">
      <alignment horizontal="left" vertical="top" wrapText="1"/>
    </xf>
    <xf numFmtId="0" fontId="10" fillId="2" borderId="1" applyAlignment="1" pivotButton="0" quotePrefix="0" xfId="0">
      <alignment horizontal="center" vertical="center" wrapText="1"/>
    </xf>
    <xf numFmtId="0" fontId="13" fillId="4" borderId="1" applyAlignment="1" pivotButton="0" quotePrefix="0" xfId="0">
      <alignment horizontal="general" vertical="bottom"/>
    </xf>
    <xf numFmtId="165" fontId="13" fillId="4" borderId="1" applyAlignment="1" pivotButton="0" quotePrefix="0" xfId="0">
      <alignment horizontal="general" vertical="bottom"/>
    </xf>
    <xf numFmtId="166" fontId="13" fillId="4" borderId="1" applyAlignment="1" pivotButton="0" quotePrefix="0" xfId="0">
      <alignment horizontal="general" vertical="bottom"/>
    </xf>
    <xf numFmtId="164" fontId="13" fillId="4" borderId="1" applyAlignment="1" pivotButton="0" quotePrefix="0" xfId="0">
      <alignment horizontal="general" vertical="bottom"/>
    </xf>
    <xf numFmtId="166" fontId="9" fillId="0" borderId="1" applyAlignment="1" pivotButton="0" quotePrefix="0" xfId="0">
      <alignment horizontal="general" vertical="bottom"/>
    </xf>
    <xf numFmtId="164" fontId="9" fillId="0" borderId="1" applyAlignment="1" pivotButton="0" quotePrefix="0" xfId="0">
      <alignment horizontal="general" vertical="bottom"/>
    </xf>
    <xf numFmtId="167" fontId="9" fillId="0" borderId="1" applyAlignment="1" pivotButton="0" quotePrefix="0" xfId="0">
      <alignment horizontal="general" vertical="bottom"/>
    </xf>
    <xf numFmtId="168" fontId="9" fillId="0" borderId="1" applyAlignment="1" pivotButton="0" quotePrefix="0" xfId="0">
      <alignment horizontal="general" vertical="bottom"/>
    </xf>
    <xf numFmtId="169" fontId="9" fillId="0" borderId="1" applyAlignment="1" pivotButton="0" quotePrefix="0" xfId="0">
      <alignment horizontal="general" vertical="bottom"/>
    </xf>
    <xf numFmtId="3" fontId="9" fillId="0" borderId="1" applyAlignment="1" pivotButton="0" quotePrefix="0" xfId="0">
      <alignment horizontal="center" vertical="bottom"/>
    </xf>
    <xf numFmtId="0" fontId="9" fillId="0" borderId="1" applyAlignment="1" pivotButton="0" quotePrefix="0" xfId="0">
      <alignment horizontal="center" vertical="bottom"/>
    </xf>
    <xf numFmtId="0" fontId="22" fillId="7" borderId="5" applyAlignment="1" pivotButton="0" quotePrefix="0" xfId="0">
      <alignment vertical="center"/>
    </xf>
    <xf numFmtId="0" fontId="23" fillId="7" borderId="5" applyAlignment="1" pivotButton="0" quotePrefix="0" xfId="0">
      <alignment vertical="center"/>
    </xf>
    <xf numFmtId="0" fontId="24" fillId="7" borderId="5" applyAlignment="1" pivotButton="0" quotePrefix="0" xfId="0">
      <alignment vertical="center"/>
    </xf>
    <xf numFmtId="0" fontId="22" fillId="9" borderId="6" applyAlignment="1" pivotButton="0" quotePrefix="0" xfId="0">
      <alignment vertical="center"/>
    </xf>
    <xf numFmtId="0" fontId="22" fillId="9" borderId="7" applyAlignment="1" pivotButton="0" quotePrefix="0" xfId="0">
      <alignment vertical="center"/>
    </xf>
    <xf numFmtId="0" fontId="22" fillId="10" borderId="6" applyAlignment="1" pivotButton="0" quotePrefix="0" xfId="0">
      <alignment vertical="center"/>
    </xf>
    <xf numFmtId="0" fontId="22" fillId="10" borderId="7" applyAlignment="1" pivotButton="0" quotePrefix="0" xfId="0">
      <alignment vertical="center"/>
    </xf>
    <xf numFmtId="0" fontId="22" fillId="11" borderId="6" applyAlignment="1" pivotButton="0" quotePrefix="0" xfId="0">
      <alignment vertical="center"/>
    </xf>
    <xf numFmtId="0" fontId="22" fillId="11" borderId="12" applyAlignment="1" pivotButton="0" quotePrefix="0" xfId="0">
      <alignment vertical="center"/>
    </xf>
    <xf numFmtId="0" fontId="22" fillId="11" borderId="7" applyAlignment="1" pivotButton="0" quotePrefix="0" xfId="0">
      <alignment vertical="center"/>
    </xf>
    <xf numFmtId="0" fontId="25" fillId="8" borderId="8" applyAlignment="1" pivotButton="0" quotePrefix="0" xfId="0">
      <alignment horizontal="center" vertical="center"/>
    </xf>
    <xf numFmtId="0" fontId="0" fillId="8" borderId="9" pivotButton="0" quotePrefix="0" xfId="0"/>
    <xf numFmtId="0" fontId="0" fillId="8" borderId="5" pivotButton="0" quotePrefix="0" xfId="0"/>
    <xf numFmtId="166" fontId="26" fillId="8" borderId="10" applyAlignment="1" pivotButton="0" quotePrefix="0" xfId="0">
      <alignment horizontal="center" vertical="center"/>
    </xf>
    <xf numFmtId="0" fontId="0" fillId="8" borderId="11" pivotButton="0" quotePrefix="0" xfId="0"/>
    <xf numFmtId="164" fontId="26" fillId="8" borderId="10" applyAlignment="1" pivotButton="0" quotePrefix="0" xfId="0">
      <alignment horizontal="center" vertical="center"/>
    </xf>
    <xf numFmtId="0" fontId="0" fillId="8" borderId="13" pivotButton="0" quotePrefix="0" xfId="0"/>
    <xf numFmtId="0" fontId="22" fillId="12" borderId="6" applyAlignment="1" pivotButton="0" quotePrefix="0" xfId="0">
      <alignment vertical="center"/>
    </xf>
    <xf numFmtId="0" fontId="22" fillId="12" borderId="7" applyAlignment="1" pivotButton="0" quotePrefix="0" xfId="0">
      <alignment vertical="center"/>
    </xf>
    <xf numFmtId="0" fontId="22" fillId="13" borderId="6" applyAlignment="1" pivotButton="0" quotePrefix="0" xfId="0">
      <alignment vertical="center"/>
    </xf>
    <xf numFmtId="0" fontId="22" fillId="13" borderId="7" applyAlignment="1" pivotButton="0" quotePrefix="0" xfId="0">
      <alignment vertical="center"/>
    </xf>
    <xf numFmtId="0" fontId="22" fillId="14" borderId="6" applyAlignment="1" pivotButton="0" quotePrefix="0" xfId="0">
      <alignment vertical="center"/>
    </xf>
    <xf numFmtId="0" fontId="22" fillId="14" borderId="12" applyAlignment="1" pivotButton="0" quotePrefix="0" xfId="0">
      <alignment vertical="center"/>
    </xf>
    <xf numFmtId="0" fontId="22" fillId="14" borderId="7" applyAlignment="1" pivotButton="0" quotePrefix="0" xfId="0">
      <alignment vertical="center"/>
    </xf>
    <xf numFmtId="0" fontId="22" fillId="15" borderId="6" applyAlignment="1" pivotButton="0" quotePrefix="0" xfId="0">
      <alignment vertical="center"/>
    </xf>
    <xf numFmtId="0" fontId="22" fillId="15" borderId="7" applyAlignment="1" pivotButton="0" quotePrefix="0" xfId="0">
      <alignment vertical="center"/>
    </xf>
    <xf numFmtId="0" fontId="22" fillId="16" borderId="6" applyAlignment="1" pivotButton="0" quotePrefix="0" xfId="0">
      <alignment vertical="center"/>
    </xf>
    <xf numFmtId="0" fontId="22" fillId="16" borderId="12" applyAlignment="1" pivotButton="0" quotePrefix="0" xfId="0">
      <alignment vertical="center"/>
    </xf>
    <xf numFmtId="0" fontId="22" fillId="16" borderId="7" applyAlignment="1" pivotButton="0" quotePrefix="0" xfId="0">
      <alignment vertical="center"/>
    </xf>
    <xf numFmtId="3" fontId="26" fillId="8" borderId="10" applyAlignment="1" pivotButton="0" quotePrefix="0" xfId="0">
      <alignment horizontal="center" vertical="center"/>
    </xf>
    <xf numFmtId="0" fontId="22" fillId="9" borderId="12" applyAlignment="1" pivotButton="0" quotePrefix="0" xfId="0">
      <alignment vertical="center"/>
    </xf>
    <xf numFmtId="0" fontId="22" fillId="8" borderId="8" applyAlignment="1" pivotButton="0" quotePrefix="0" xfId="0">
      <alignment vertical="center"/>
    </xf>
    <xf numFmtId="0" fontId="22" fillId="8" borderId="5" applyAlignment="1" pivotButton="0" quotePrefix="0" xfId="0">
      <alignment vertical="center"/>
    </xf>
    <xf numFmtId="0" fontId="22" fillId="8" borderId="9" applyAlignment="1" pivotButton="0" quotePrefix="0" xfId="0">
      <alignment vertical="center"/>
    </xf>
    <xf numFmtId="0" fontId="27" fillId="8" borderId="14" applyAlignment="1" pivotButton="0" quotePrefix="0" xfId="0">
      <alignment vertical="center" indent="1"/>
    </xf>
    <xf numFmtId="0" fontId="0" fillId="0" borderId="15" pivotButton="0" quotePrefix="0" xfId="0"/>
    <xf numFmtId="0" fontId="28" fillId="8" borderId="14" applyAlignment="1" pivotButton="0" quotePrefix="0" xfId="0">
      <alignment vertical="center" indent="1"/>
    </xf>
    <xf numFmtId="0" fontId="25" fillId="17" borderId="13" applyAlignment="1" pivotButton="0" quotePrefix="0" xfId="0">
      <alignment horizontal="left" vertical="bottom" wrapText="1" indent="1"/>
    </xf>
    <xf numFmtId="0" fontId="25" fillId="17" borderId="13" applyAlignment="1" pivotButton="0" quotePrefix="0" xfId="0">
      <alignment horizontal="right" vertical="bottom" wrapText="1"/>
    </xf>
    <xf numFmtId="0" fontId="29" fillId="8" borderId="8" applyAlignment="1" pivotButton="0" quotePrefix="0" xfId="0">
      <alignment horizontal="left" vertical="center" indent="1"/>
    </xf>
    <xf numFmtId="3" fontId="30" fillId="8" borderId="5" applyAlignment="1" pivotButton="0" quotePrefix="0" xfId="0">
      <alignment horizontal="right" vertical="center"/>
    </xf>
    <xf numFmtId="166" fontId="29" fillId="8" borderId="5" applyAlignment="1" pivotButton="0" quotePrefix="0" xfId="0">
      <alignment horizontal="right" vertical="center"/>
    </xf>
    <xf numFmtId="164" fontId="29" fillId="8" borderId="5" applyAlignment="1" pivotButton="0" quotePrefix="0" xfId="0">
      <alignment horizontal="right" vertical="center"/>
    </xf>
    <xf numFmtId="2" fontId="29" fillId="8" borderId="5" applyAlignment="1" pivotButton="0" quotePrefix="0" xfId="0">
      <alignment horizontal="right" vertical="center"/>
    </xf>
    <xf numFmtId="0" fontId="24" fillId="8" borderId="9" applyAlignment="1" pivotButton="0" quotePrefix="0" xfId="0">
      <alignment horizontal="left" vertical="center" indent="1"/>
    </xf>
    <xf numFmtId="0" fontId="29" fillId="18" borderId="8" applyAlignment="1" pivotButton="0" quotePrefix="0" xfId="0">
      <alignment horizontal="left" vertical="center" indent="1"/>
    </xf>
    <xf numFmtId="3" fontId="30" fillId="18" borderId="5" applyAlignment="1" pivotButton="0" quotePrefix="0" xfId="0">
      <alignment horizontal="right" vertical="center"/>
    </xf>
    <xf numFmtId="166" fontId="29" fillId="18" borderId="5" applyAlignment="1" pivotButton="0" quotePrefix="0" xfId="0">
      <alignment horizontal="right" vertical="center"/>
    </xf>
    <xf numFmtId="164" fontId="29" fillId="18" borderId="5" applyAlignment="1" pivotButton="0" quotePrefix="0" xfId="0">
      <alignment horizontal="right" vertical="center"/>
    </xf>
    <xf numFmtId="2" fontId="29" fillId="18" borderId="5" applyAlignment="1" pivotButton="0" quotePrefix="0" xfId="0">
      <alignment horizontal="right" vertical="center"/>
    </xf>
    <xf numFmtId="0" fontId="24" fillId="18" borderId="9" applyAlignment="1" pivotButton="0" quotePrefix="0" xfId="0">
      <alignment horizontal="left" vertical="center" indent="1"/>
    </xf>
    <xf numFmtId="0" fontId="31" fillId="8" borderId="14" applyAlignment="1" pivotButton="0" quotePrefix="0" xfId="0">
      <alignment vertical="center" wrapText="1" indent="1"/>
    </xf>
    <xf numFmtId="0" fontId="22" fillId="10" borderId="12" applyAlignment="1" pivotButton="0" quotePrefix="0" xfId="0">
      <alignment vertical="center"/>
    </xf>
    <xf numFmtId="2" fontId="29" fillId="8" borderId="9" applyAlignment="1" pivotButton="0" quotePrefix="0" xfId="0">
      <alignment horizontal="right" vertical="center"/>
    </xf>
    <xf numFmtId="2" fontId="29" fillId="18" borderId="9" applyAlignment="1" pivotButton="0" quotePrefix="0" xfId="0">
      <alignment horizontal="right" vertical="center"/>
    </xf>
    <xf numFmtId="0" fontId="29" fillId="8" borderId="8" applyAlignment="1" pivotButton="0" quotePrefix="0" xfId="0">
      <alignment horizontal="left" vertical="center" wrapText="1" indent="1"/>
    </xf>
    <xf numFmtId="166" fontId="30" fillId="8" borderId="5" applyAlignment="1" pivotButton="0" quotePrefix="0" xfId="0">
      <alignment horizontal="right" vertical="center"/>
    </xf>
    <xf numFmtId="0" fontId="24" fillId="8" borderId="5" applyAlignment="1" pivotButton="0" quotePrefix="0" xfId="0">
      <alignment horizontal="left" vertical="center" indent="1"/>
    </xf>
    <xf numFmtId="0" fontId="29" fillId="18" borderId="8" applyAlignment="1" pivotButton="0" quotePrefix="0" xfId="0">
      <alignment horizontal="left" vertical="center" wrapText="1" indent="1"/>
    </xf>
    <xf numFmtId="166" fontId="30" fillId="18" borderId="5" applyAlignment="1" pivotButton="0" quotePrefix="0" xfId="0">
      <alignment horizontal="right" vertical="center"/>
    </xf>
    <xf numFmtId="0" fontId="24" fillId="18" borderId="5" applyAlignment="1" pivotButton="0" quotePrefix="0" xfId="0">
      <alignment horizontal="left" vertical="center" indent="1"/>
    </xf>
    <xf numFmtId="0" fontId="22" fillId="12" borderId="12" applyAlignment="1" pivotButton="0" quotePrefix="0" xfId="0">
      <alignment vertical="center"/>
    </xf>
    <xf numFmtId="164" fontId="30" fillId="18" borderId="5" applyAlignment="1" pivotButton="0" quotePrefix="0" xfId="0">
      <alignment horizontal="right" vertical="center"/>
    </xf>
    <xf numFmtId="0" fontId="29" fillId="8" borderId="5" applyAlignment="1" pivotButton="0" quotePrefix="0" xfId="0">
      <alignment horizontal="left" vertical="center" indent="1"/>
    </xf>
    <xf numFmtId="0" fontId="22" fillId="13" borderId="12" applyAlignment="1" pivotButton="0" quotePrefix="0" xfId="0">
      <alignment vertical="center"/>
    </xf>
    <xf numFmtId="0" fontId="24" fillId="8" borderId="5" applyAlignment="1" pivotButton="0" quotePrefix="0" xfId="0">
      <alignment horizontal="left" vertical="center" wrapText="1" indent="1"/>
    </xf>
    <xf numFmtId="0" fontId="24" fillId="18" borderId="5" applyAlignment="1" pivotButton="0" quotePrefix="0" xfId="0">
      <alignment horizontal="left" vertical="center" wrapText="1" indent="1"/>
    </xf>
    <xf numFmtId="0" fontId="29" fillId="18" borderId="5" applyAlignment="1" pivotButton="0" quotePrefix="0" xfId="0">
      <alignment horizontal="left" vertical="center" indent="1"/>
    </xf>
    <xf numFmtId="0" fontId="31" fillId="8" borderId="14" applyAlignment="1" pivotButton="0" quotePrefix="0" xfId="0">
      <alignment vertical="center" indent="1"/>
    </xf>
    <xf numFmtId="0" fontId="22" fillId="8" borderId="10" applyAlignment="1" pivotButton="0" quotePrefix="0" xfId="0">
      <alignment vertical="center"/>
    </xf>
    <xf numFmtId="0" fontId="22" fillId="8" borderId="13" applyAlignment="1" pivotButton="0" quotePrefix="0" xfId="0">
      <alignment vertical="center"/>
    </xf>
    <xf numFmtId="0" fontId="22" fillId="8" borderId="11" applyAlignment="1" pivotButton="0" quotePrefix="0" xfId="0">
      <alignment vertical="center"/>
    </xf>
    <xf numFmtId="0" fontId="0" fillId="8" borderId="8" pivotButton="0" quotePrefix="0" xfId="0"/>
    <xf numFmtId="0" fontId="0" fillId="8" borderId="10" pivotButton="0" quotePrefix="0" xfId="0"/>
    <xf numFmtId="0" fontId="0" fillId="13" borderId="6" pivotButton="0" quotePrefix="0" xfId="0"/>
    <xf numFmtId="0" fontId="0" fillId="13" borderId="12" pivotButton="0" quotePrefix="0" xfId="0"/>
    <xf numFmtId="0" fontId="0" fillId="13" borderId="7" pivotButton="0" quotePrefix="0" xfId="0"/>
    <xf numFmtId="0" fontId="32" fillId="0" borderId="0" applyAlignment="1" pivotButton="0" quotePrefix="0" xfId="0">
      <alignment vertical="center"/>
    </xf>
    <xf numFmtId="0" fontId="7" fillId="0" borderId="0" applyAlignment="1" pivotButton="0" quotePrefix="0" xfId="0">
      <alignment horizontal="general" vertical="top" wrapText="1"/>
    </xf>
    <xf numFmtId="0" fontId="19" fillId="0" borderId="0" applyAlignment="1" pivotButton="0" quotePrefix="0" xfId="0">
      <alignment horizontal="general" vertical="bottom"/>
    </xf>
    <xf numFmtId="0" fontId="20" fillId="6" borderId="1" applyAlignment="1" pivotButton="0" quotePrefix="0" xfId="0">
      <alignment horizontal="left" vertical="center" indent="1"/>
    </xf>
    <xf numFmtId="0" fontId="9" fillId="0" borderId="1" applyAlignment="1" pivotButton="0" quotePrefix="0" xfId="0">
      <alignment horizontal="general" vertical="center" wrapText="1"/>
    </xf>
    <xf numFmtId="0" fontId="21" fillId="3" borderId="0" applyAlignment="1" pivotButton="0" quotePrefix="0" xfId="0">
      <alignment horizontal="center" vertical="center"/>
    </xf>
    <xf numFmtId="0" fontId="25" fillId="8" borderId="14" applyAlignment="1" pivotButton="0" quotePrefix="0" xfId="0">
      <alignment horizontal="center" vertical="center"/>
    </xf>
    <xf numFmtId="166" fontId="26" fillId="8" borderId="17" applyAlignment="1" pivotButton="0" quotePrefix="0" xfId="0">
      <alignment horizontal="center" vertical="center"/>
    </xf>
    <xf numFmtId="0" fontId="0" fillId="0" borderId="18" pivotButton="0" quotePrefix="0" xfId="0"/>
    <xf numFmtId="164" fontId="26" fillId="8" borderId="17" applyAlignment="1" pivotButton="0" quotePrefix="0" xfId="0">
      <alignment horizontal="center" vertical="center"/>
    </xf>
    <xf numFmtId="0" fontId="0" fillId="0" borderId="19" pivotButton="0" quotePrefix="0" xfId="0"/>
    <xf numFmtId="3" fontId="26" fillId="8" borderId="17" applyAlignment="1" pivotButton="0" quotePrefix="0" xfId="0">
      <alignment horizontal="center" vertical="center"/>
    </xf>
    <xf numFmtId="0" fontId="27" fillId="8" borderId="16" applyAlignment="1" pivotButton="0" quotePrefix="0" xfId="0">
      <alignment vertical="center" indent="1"/>
    </xf>
    <xf numFmtId="0" fontId="28" fillId="8" borderId="16" applyAlignment="1" pivotButton="0" quotePrefix="0" xfId="0">
      <alignment vertical="center" indent="1"/>
    </xf>
    <xf numFmtId="0" fontId="31" fillId="8" borderId="16" applyAlignment="1" pivotButton="0" quotePrefix="0" xfId="0">
      <alignment vertical="center" wrapText="1" indent="1"/>
    </xf>
    <xf numFmtId="0" fontId="31" fillId="8" borderId="16" applyAlignment="1" pivotButton="0" quotePrefix="0" xfId="0">
      <alignment vertical="center" indent="1"/>
    </xf>
    <xf numFmtId="0" fontId="33" fillId="19" borderId="0" applyAlignment="1" pivotButton="0" quotePrefix="0" xfId="0">
      <alignment vertical="center" indent="1"/>
    </xf>
    <xf numFmtId="0" fontId="0" fillId="19" borderId="0" pivotButton="0" quotePrefix="0" xfId="0"/>
    <xf numFmtId="0" fontId="34" fillId="0" borderId="0" pivotButton="0" quotePrefix="0" xfId="0"/>
    <xf numFmtId="0" fontId="35" fillId="0" borderId="0" applyAlignment="1" pivotButton="0" quotePrefix="0" xfId="0">
      <alignment vertical="top" wrapText="1"/>
    </xf>
    <xf numFmtId="0" fontId="36" fillId="0" borderId="0" pivotButton="0" quotePrefix="0" xfId="0"/>
    <xf numFmtId="0" fontId="37" fillId="0" borderId="0" applyAlignment="1" pivotButton="0" quotePrefix="0" xfId="0">
      <alignment horizontal="center"/>
    </xf>
    <xf numFmtId="0" fontId="35" fillId="0" borderId="0" applyAlignment="1" pivotButton="0" quotePrefix="0" xfId="0">
      <alignment vertical="center" wrapText="1"/>
    </xf>
    <xf numFmtId="0" fontId="38" fillId="19" borderId="0" applyAlignment="1" pivotButton="0" quotePrefix="0" xfId="0">
      <alignment horizontal="center" vertical="center"/>
    </xf>
    <xf numFmtId="0" fontId="39" fillId="0" borderId="20" applyAlignment="1" pivotButton="0" quotePrefix="0" xfId="0">
      <alignment vertical="center" indent="1"/>
    </xf>
    <xf numFmtId="0" fontId="40" fillId="0" borderId="20" applyAlignment="1" pivotButton="0" quotePrefix="0" xfId="0">
      <alignment vertical="center" wrapText="1"/>
    </xf>
    <xf numFmtId="0" fontId="34" fillId="0" borderId="20" applyAlignment="1" pivotButton="0" quotePrefix="0" xfId="0">
      <alignment horizontal="center" vertical="center"/>
    </xf>
    <xf numFmtId="0" fontId="36" fillId="20" borderId="0" applyAlignment="1" pivotButton="0" quotePrefix="0" xfId="0">
      <alignment horizontal="center" vertical="center" wrapText="1"/>
    </xf>
    <xf numFmtId="0" fontId="0" fillId="20" borderId="0" pivotButton="0" quotePrefix="0" xfId="0"/>
    <xf numFmtId="0" fontId="41" fillId="0" borderId="0" pivotButton="0" quotePrefix="0" xfId="0"/>
    <xf numFmtId="0" fontId="42" fillId="21" borderId="20" applyAlignment="1" pivotButton="0" quotePrefix="0" xfId="0">
      <alignment vertical="center"/>
    </xf>
    <xf numFmtId="170" fontId="42" fillId="21" borderId="20" applyAlignment="1" pivotButton="0" quotePrefix="0" xfId="0">
      <alignment vertical="center"/>
    </xf>
    <xf numFmtId="171" fontId="42" fillId="21" borderId="20" applyAlignment="1" pivotButton="0" quotePrefix="0" xfId="0">
      <alignment vertical="center"/>
    </xf>
    <xf numFmtId="9" fontId="42" fillId="21" borderId="20" applyAlignment="1" pivotButton="0" quotePrefix="0" xfId="0">
      <alignment vertical="center"/>
    </xf>
    <xf numFmtId="3" fontId="42" fillId="21" borderId="20" applyAlignment="1" pivotButton="0" quotePrefix="0" xfId="0">
      <alignment vertical="center"/>
    </xf>
    <xf numFmtId="0" fontId="25" fillId="8" borderId="16" applyAlignment="1" pivotButton="0" quotePrefix="0" xfId="0">
      <alignment horizontal="center" vertical="center"/>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F7A6C"/>
      <rgbColor rgb="FFB7C4CE"/>
      <rgbColor rgb="FF808080"/>
      <rgbColor rgb="FF9999FF"/>
      <rgbColor rgb="FF993366"/>
      <rgbColor rgb="FFFFF2CC"/>
      <rgbColor rgb="FFEAF0F4"/>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B7280"/>
      <rgbColor rgb="FF969696"/>
      <rgbColor rgb="FF14324F"/>
      <rgbColor rgb="FF339966"/>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harts/chart1.xml><?xml version="1.0" encoding="utf-8"?>
<chartSpace xmlns="http://schemas.openxmlformats.org/drawingml/2006/chart">
  <chart>
    <plotArea>
      <barChart>
        <barDir val="bar"/>
        <grouping val="clustered"/>
        <ser>
          <idx val="0"/>
          <order val="0"/>
          <spPr>
            <a:solidFill xmlns:a="http://schemas.openxmlformats.org/drawingml/2006/main">
              <a:srgbClr val="00D9B2"/>
            </a:solidFill>
            <a:ln xmlns:a="http://schemas.openxmlformats.org/drawingml/2006/main">
              <a:prstDash val="solid"/>
            </a:ln>
          </spPr>
          <dPt>
            <idx val="0"/>
            <spPr>
              <a:solidFill xmlns:a="http://schemas.openxmlformats.org/drawingml/2006/main">
                <a:srgbClr val="00D9B2"/>
              </a:solidFill>
              <a:ln xmlns:a="http://schemas.openxmlformats.org/drawingml/2006/main">
                <a:prstDash val="solid"/>
              </a:ln>
            </spPr>
          </dPt>
          <dPt>
            <idx val="1"/>
            <spPr>
              <a:solidFill xmlns:a="http://schemas.openxmlformats.org/drawingml/2006/main">
                <a:srgbClr val="4C8DFF"/>
              </a:solidFill>
              <a:ln xmlns:a="http://schemas.openxmlformats.org/drawingml/2006/main">
                <a:prstDash val="solid"/>
              </a:ln>
            </spPr>
          </dPt>
          <dPt>
            <idx val="2"/>
            <spPr>
              <a:solidFill xmlns:a="http://schemas.openxmlformats.org/drawingml/2006/main">
                <a:srgbClr val="FFB020"/>
              </a:solidFill>
              <a:ln xmlns:a="http://schemas.openxmlformats.org/drawingml/2006/main">
                <a:prstDash val="solid"/>
              </a:ln>
            </spPr>
          </dPt>
          <dPt>
            <idx val="3"/>
            <spPr>
              <a:solidFill xmlns:a="http://schemas.openxmlformats.org/drawingml/2006/main">
                <a:srgbClr val="A98BFA"/>
              </a:solidFill>
              <a:ln xmlns:a="http://schemas.openxmlformats.org/drawingml/2006/main">
                <a:prstDash val="solid"/>
              </a:ln>
            </spPr>
          </dPt>
          <dPt>
            <idx val="4"/>
            <spPr>
              <a:solidFill xmlns:a="http://schemas.openxmlformats.org/drawingml/2006/main">
                <a:srgbClr val="F472B6"/>
              </a:solidFill>
              <a:ln xmlns:a="http://schemas.openxmlformats.org/drawingml/2006/main">
                <a:prstDash val="solid"/>
              </a:ln>
            </spPr>
          </dPt>
          <dPt>
            <idx val="5"/>
            <spPr>
              <a:solidFill xmlns:a="http://schemas.openxmlformats.org/drawingml/2006/main">
                <a:srgbClr val="38BDF8"/>
              </a:solidFill>
              <a:ln xmlns:a="http://schemas.openxmlformats.org/drawingml/2006/main">
                <a:prstDash val="solid"/>
              </a:ln>
            </spPr>
          </dPt>
          <dPt>
            <idx val="6"/>
            <spPr>
              <a:solidFill xmlns:a="http://schemas.openxmlformats.org/drawingml/2006/main">
                <a:srgbClr val="3DD68C"/>
              </a:solidFill>
              <a:ln xmlns:a="http://schemas.openxmlformats.org/drawingml/2006/main">
                <a:prstDash val="solid"/>
              </a:ln>
            </spPr>
          </dPt>
          <dPt>
            <idx val="7"/>
            <spPr>
              <a:solidFill xmlns:a="http://schemas.openxmlformats.org/drawingml/2006/main">
                <a:srgbClr val="FF5A6A"/>
              </a:solidFill>
              <a:ln xmlns:a="http://schemas.openxmlformats.org/drawingml/2006/main">
                <a:prstDash val="solid"/>
              </a:ln>
            </spPr>
          </dPt>
          <dPt>
            <idx val="8"/>
            <spPr>
              <a:solidFill xmlns:a="http://schemas.openxmlformats.org/drawingml/2006/main">
                <a:srgbClr val="FF8A5B"/>
              </a:solidFill>
              <a:ln xmlns:a="http://schemas.openxmlformats.org/drawingml/2006/main">
                <a:prstDash val="solid"/>
              </a:ln>
            </spPr>
          </dPt>
          <dPt>
            <idx val="9"/>
            <spPr>
              <a:solidFill xmlns:a="http://schemas.openxmlformats.org/drawingml/2006/main">
                <a:srgbClr val="00D9B2"/>
              </a:solidFill>
              <a:ln xmlns:a="http://schemas.openxmlformats.org/drawingml/2006/main">
                <a:prstDash val="solid"/>
              </a:ln>
            </spPr>
          </dPt>
          <dPt>
            <idx val="10"/>
            <spPr>
              <a:solidFill xmlns:a="http://schemas.openxmlformats.org/drawingml/2006/main">
                <a:srgbClr val="4C8DFF"/>
              </a:solidFill>
              <a:ln xmlns:a="http://schemas.openxmlformats.org/drawingml/2006/main">
                <a:prstDash val="solid"/>
              </a:ln>
            </spPr>
          </dPt>
          <dPt>
            <idx val="11"/>
            <spPr>
              <a:solidFill xmlns:a="http://schemas.openxmlformats.org/drawingml/2006/main">
                <a:srgbClr val="FFB020"/>
              </a:solidFill>
              <a:ln xmlns:a="http://schemas.openxmlformats.org/drawingml/2006/main">
                <a:prstDash val="solid"/>
              </a:ln>
            </spPr>
          </dPt>
          <cat>
            <numRef>
              <f>'Tablero'!$B$17:$B$28</f>
            </numRef>
          </cat>
          <val>
            <numRef>
              <f>'Tablero'!$C$17:$C$28</f>
            </numRef>
          </val>
        </ser>
        <gapWidth val="55"/>
        <overlap val="-10"/>
        <axId val="10"/>
        <axId val="100"/>
      </barChart>
      <catAx>
        <axId val="10"/>
        <scaling>
          <orientation val="minMax"/>
        </scaling>
        <delete val="0"/>
        <axPos val="l"/>
        <majorTickMark val="none"/>
        <minorTickMark val="none"/>
        <spPr>
          <a:ln xmlns:a="http://schemas.openxmlformats.org/drawingml/2006/main">
            <a:prstDash val="solid"/>
          </a:ln>
        </spPr>
        <txPr>
          <a:bodyPr xmlns:a="http://schemas.openxmlformats.org/drawingml/2006/main"/>
          <a:p xmlns:a="http://schemas.openxmlformats.org/drawingml/2006/main">
            <a:pPr>
              <a:defRPr sz="800">
                <a:solidFill>
                  <a:srgbClr val="6B7AB0"/>
                </a:solidFill>
                <a:latin typeface="Arial"/>
              </a:defRPr>
            </a:pPr>
            <a:r>
              <a:t>None</a:t>
            </a:r>
            <a:endParaRPr sz="800">
              <a:solidFill>
                <a:srgbClr val="6B7AB0"/>
              </a:solidFill>
            </a:endParaRPr>
          </a:p>
        </txPr>
        <crossAx val="100"/>
        <lblOffset val="100"/>
      </catAx>
      <valAx>
        <axId val="100"/>
        <scaling>
          <orientation val="minMax"/>
        </scaling>
        <delete val="0"/>
        <axPos val="l"/>
        <numFmt formatCode="&quot;$&quot;#,##0,,&quot;M&quot;;;&quot;—&quot;" sourceLinked="0"/>
        <majorTickMark val="none"/>
        <minorTickMark val="none"/>
        <spPr>
          <a:ln xmlns:a="http://schemas.openxmlformats.org/drawingml/2006/main">
            <a:prstDash val="solid"/>
          </a:ln>
        </spPr>
        <txPr>
          <a:bodyPr xmlns:a="http://schemas.openxmlformats.org/drawingml/2006/main"/>
          <a:p xmlns:a="http://schemas.openxmlformats.org/drawingml/2006/main">
            <a:pPr>
              <a:defRPr sz="800">
                <a:solidFill>
                  <a:srgbClr val="6B7AB0"/>
                </a:solidFill>
                <a:latin typeface="Arial"/>
              </a:defRPr>
            </a:pPr>
            <a:r>
              <a:t>None</a:t>
            </a:r>
            <a:endParaRPr sz="800">
              <a:solidFill>
                <a:srgbClr val="6B7AB0"/>
              </a:solidFill>
            </a:endParaRPr>
          </a:p>
        </txPr>
        <crossAx val="10"/>
      </valAx>
    </plotArea>
    <plotVisOnly val="1"/>
    <dispBlanksAs val="gap"/>
  </chart>
  <spPr>
    <a:solidFill xmlns:a="http://schemas.openxmlformats.org/drawingml/2006/main">
      <a:srgbClr val="111C52"/>
    </a:solidFill>
    <a:ln xmlns:a="http://schemas.openxmlformats.org/drawingml/2006/main">
      <a:prstDash val="solid"/>
    </a:ln>
  </spPr>
</chartSpace>
</file>

<file path=xl/charts/chart2.xml><?xml version="1.0" encoding="utf-8"?>
<chartSpace xmlns="http://schemas.openxmlformats.org/drawingml/2006/chart">
  <chart>
    <plotArea>
      <barChart>
        <barDir val="bar"/>
        <grouping val="clustered"/>
        <ser>
          <idx val="0"/>
          <order val="0"/>
          <spPr>
            <a:solidFill xmlns:a="http://schemas.openxmlformats.org/drawingml/2006/main">
              <a:srgbClr val="4C8DFF"/>
            </a:solidFill>
            <a:ln xmlns:a="http://schemas.openxmlformats.org/drawingml/2006/main">
              <a:prstDash val="solid"/>
            </a:ln>
          </spPr>
          <dPt>
            <idx val="0"/>
            <spPr>
              <a:solidFill xmlns:a="http://schemas.openxmlformats.org/drawingml/2006/main">
                <a:srgbClr val="00D9B2"/>
              </a:solidFill>
              <a:ln xmlns:a="http://schemas.openxmlformats.org/drawingml/2006/main">
                <a:prstDash val="solid"/>
              </a:ln>
            </spPr>
          </dPt>
          <dPt>
            <idx val="1"/>
            <spPr>
              <a:solidFill xmlns:a="http://schemas.openxmlformats.org/drawingml/2006/main">
                <a:srgbClr val="4C8DFF"/>
              </a:solidFill>
              <a:ln xmlns:a="http://schemas.openxmlformats.org/drawingml/2006/main">
                <a:prstDash val="solid"/>
              </a:ln>
            </spPr>
          </dPt>
          <dPt>
            <idx val="2"/>
            <spPr>
              <a:solidFill xmlns:a="http://schemas.openxmlformats.org/drawingml/2006/main">
                <a:srgbClr val="FFB020"/>
              </a:solidFill>
              <a:ln xmlns:a="http://schemas.openxmlformats.org/drawingml/2006/main">
                <a:prstDash val="solid"/>
              </a:ln>
            </spPr>
          </dPt>
          <dPt>
            <idx val="3"/>
            <spPr>
              <a:solidFill xmlns:a="http://schemas.openxmlformats.org/drawingml/2006/main">
                <a:srgbClr val="A98BFA"/>
              </a:solidFill>
              <a:ln xmlns:a="http://schemas.openxmlformats.org/drawingml/2006/main">
                <a:prstDash val="solid"/>
              </a:ln>
            </spPr>
          </dPt>
          <dPt>
            <idx val="4"/>
            <spPr>
              <a:solidFill xmlns:a="http://schemas.openxmlformats.org/drawingml/2006/main">
                <a:srgbClr val="F472B6"/>
              </a:solidFill>
              <a:ln xmlns:a="http://schemas.openxmlformats.org/drawingml/2006/main">
                <a:prstDash val="solid"/>
              </a:ln>
            </spPr>
          </dPt>
          <dPt>
            <idx val="5"/>
            <spPr>
              <a:solidFill xmlns:a="http://schemas.openxmlformats.org/drawingml/2006/main">
                <a:srgbClr val="38BDF8"/>
              </a:solidFill>
              <a:ln xmlns:a="http://schemas.openxmlformats.org/drawingml/2006/main">
                <a:prstDash val="solid"/>
              </a:ln>
            </spPr>
          </dPt>
          <dPt>
            <idx val="6"/>
            <spPr>
              <a:solidFill xmlns:a="http://schemas.openxmlformats.org/drawingml/2006/main">
                <a:srgbClr val="3DD68C"/>
              </a:solidFill>
              <a:ln xmlns:a="http://schemas.openxmlformats.org/drawingml/2006/main">
                <a:prstDash val="solid"/>
              </a:ln>
            </spPr>
          </dPt>
          <dPt>
            <idx val="7"/>
            <spPr>
              <a:solidFill xmlns:a="http://schemas.openxmlformats.org/drawingml/2006/main">
                <a:srgbClr val="FF5A6A"/>
              </a:solidFill>
              <a:ln xmlns:a="http://schemas.openxmlformats.org/drawingml/2006/main">
                <a:prstDash val="solid"/>
              </a:ln>
            </spPr>
          </dPt>
          <dPt>
            <idx val="8"/>
            <spPr>
              <a:solidFill xmlns:a="http://schemas.openxmlformats.org/drawingml/2006/main">
                <a:srgbClr val="FF8A5B"/>
              </a:solidFill>
              <a:ln xmlns:a="http://schemas.openxmlformats.org/drawingml/2006/main">
                <a:prstDash val="solid"/>
              </a:ln>
            </spPr>
          </dPt>
          <dPt>
            <idx val="9"/>
            <spPr>
              <a:solidFill xmlns:a="http://schemas.openxmlformats.org/drawingml/2006/main">
                <a:srgbClr val="00D9B2"/>
              </a:solidFill>
              <a:ln xmlns:a="http://schemas.openxmlformats.org/drawingml/2006/main">
                <a:prstDash val="solid"/>
              </a:ln>
            </spPr>
          </dPt>
          <dPt>
            <idx val="10"/>
            <spPr>
              <a:solidFill xmlns:a="http://schemas.openxmlformats.org/drawingml/2006/main">
                <a:srgbClr val="4C8DFF"/>
              </a:solidFill>
              <a:ln xmlns:a="http://schemas.openxmlformats.org/drawingml/2006/main">
                <a:prstDash val="solid"/>
              </a:ln>
            </spPr>
          </dPt>
          <dPt>
            <idx val="11"/>
            <spPr>
              <a:solidFill xmlns:a="http://schemas.openxmlformats.org/drawingml/2006/main">
                <a:srgbClr val="FFB020"/>
              </a:solidFill>
              <a:ln xmlns:a="http://schemas.openxmlformats.org/drawingml/2006/main">
                <a:prstDash val="solid"/>
              </a:ln>
            </spPr>
          </dPt>
          <cat>
            <numRef>
              <f>'Tablero'!$B$35:$B$46</f>
            </numRef>
          </cat>
          <val>
            <numRef>
              <f>'Tablero'!$C$35:$C$46</f>
            </numRef>
          </val>
        </ser>
        <gapWidth val="55"/>
        <overlap val="-10"/>
        <axId val="10"/>
        <axId val="100"/>
      </barChart>
      <catAx>
        <axId val="10"/>
        <scaling>
          <orientation val="minMax"/>
        </scaling>
        <delete val="0"/>
        <axPos val="l"/>
        <majorTickMark val="none"/>
        <minorTickMark val="none"/>
        <spPr>
          <a:ln xmlns:a="http://schemas.openxmlformats.org/drawingml/2006/main">
            <a:prstDash val="solid"/>
          </a:ln>
        </spPr>
        <txPr>
          <a:bodyPr xmlns:a="http://schemas.openxmlformats.org/drawingml/2006/main"/>
          <a:p xmlns:a="http://schemas.openxmlformats.org/drawingml/2006/main">
            <a:pPr>
              <a:defRPr sz="800">
                <a:solidFill>
                  <a:srgbClr val="6B7AB0"/>
                </a:solidFill>
                <a:latin typeface="Arial"/>
              </a:defRPr>
            </a:pPr>
            <a:r>
              <a:t>None</a:t>
            </a:r>
            <a:endParaRPr sz="800">
              <a:solidFill>
                <a:srgbClr val="6B7AB0"/>
              </a:solidFill>
            </a:endParaRPr>
          </a:p>
        </txPr>
        <crossAx val="100"/>
        <lblOffset val="100"/>
      </catAx>
      <valAx>
        <axId val="100"/>
        <scaling>
          <orientation val="minMax"/>
        </scaling>
        <delete val="0"/>
        <axPos val="l"/>
        <numFmt formatCode="&quot;$&quot;#,##0,,&quot;M&quot;;;&quot;—&quot;" sourceLinked="0"/>
        <majorTickMark val="none"/>
        <minorTickMark val="none"/>
        <spPr>
          <a:ln xmlns:a="http://schemas.openxmlformats.org/drawingml/2006/main">
            <a:prstDash val="solid"/>
          </a:ln>
        </spPr>
        <txPr>
          <a:bodyPr xmlns:a="http://schemas.openxmlformats.org/drawingml/2006/main"/>
          <a:p xmlns:a="http://schemas.openxmlformats.org/drawingml/2006/main">
            <a:pPr>
              <a:defRPr sz="800">
                <a:solidFill>
                  <a:srgbClr val="6B7AB0"/>
                </a:solidFill>
                <a:latin typeface="Arial"/>
              </a:defRPr>
            </a:pPr>
            <a:r>
              <a:t>None</a:t>
            </a:r>
            <a:endParaRPr sz="800">
              <a:solidFill>
                <a:srgbClr val="6B7AB0"/>
              </a:solidFill>
            </a:endParaRPr>
          </a:p>
        </txPr>
        <crossAx val="10"/>
      </valAx>
    </plotArea>
    <plotVisOnly val="1"/>
    <dispBlanksAs val="gap"/>
  </chart>
  <spPr>
    <a:solidFill xmlns:a="http://schemas.openxmlformats.org/drawingml/2006/main">
      <a:srgbClr val="111C52"/>
    </a:solidFill>
    <a:ln xmlns:a="http://schemas.openxmlformats.org/drawingml/2006/main">
      <a:prstDash val="solid"/>
    </a:ln>
  </spPr>
</chartSpace>
</file>

<file path=xl/charts/chart3.xml><?xml version="1.0" encoding="utf-8"?>
<chartSpace xmlns="http://schemas.openxmlformats.org/drawingml/2006/chart">
  <chart>
    <plotArea>
      <barChart>
        <barDir val="col"/>
        <grouping val="clustered"/>
        <ser>
          <idx val="0"/>
          <order val="0"/>
          <spPr>
            <a:solidFill xmlns:a="http://schemas.openxmlformats.org/drawingml/2006/main">
              <a:srgbClr val="38BDF8"/>
            </a:solidFill>
            <a:ln xmlns:a="http://schemas.openxmlformats.org/drawingml/2006/main">
              <a:prstDash val="solid"/>
            </a:ln>
          </spPr>
          <dPt>
            <idx val="0"/>
            <spPr>
              <a:solidFill xmlns:a="http://schemas.openxmlformats.org/drawingml/2006/main">
                <a:srgbClr val="00D9B2"/>
              </a:solidFill>
              <a:ln xmlns:a="http://schemas.openxmlformats.org/drawingml/2006/main">
                <a:prstDash val="solid"/>
              </a:ln>
            </spPr>
          </dPt>
          <dPt>
            <idx val="1"/>
            <spPr>
              <a:solidFill xmlns:a="http://schemas.openxmlformats.org/drawingml/2006/main">
                <a:srgbClr val="4C8DFF"/>
              </a:solidFill>
              <a:ln xmlns:a="http://schemas.openxmlformats.org/drawingml/2006/main">
                <a:prstDash val="solid"/>
              </a:ln>
            </spPr>
          </dPt>
          <dPt>
            <idx val="2"/>
            <spPr>
              <a:solidFill xmlns:a="http://schemas.openxmlformats.org/drawingml/2006/main">
                <a:srgbClr val="FFB020"/>
              </a:solidFill>
              <a:ln xmlns:a="http://schemas.openxmlformats.org/drawingml/2006/main">
                <a:prstDash val="solid"/>
              </a:ln>
            </spPr>
          </dPt>
          <dPt>
            <idx val="3"/>
            <spPr>
              <a:solidFill xmlns:a="http://schemas.openxmlformats.org/drawingml/2006/main">
                <a:srgbClr val="A98BFA"/>
              </a:solidFill>
              <a:ln xmlns:a="http://schemas.openxmlformats.org/drawingml/2006/main">
                <a:prstDash val="solid"/>
              </a:ln>
            </spPr>
          </dPt>
          <dPt>
            <idx val="4"/>
            <spPr>
              <a:solidFill xmlns:a="http://schemas.openxmlformats.org/drawingml/2006/main">
                <a:srgbClr val="F472B6"/>
              </a:solidFill>
              <a:ln xmlns:a="http://schemas.openxmlformats.org/drawingml/2006/main">
                <a:prstDash val="solid"/>
              </a:ln>
            </spPr>
          </dPt>
          <dPt>
            <idx val="5"/>
            <spPr>
              <a:solidFill xmlns:a="http://schemas.openxmlformats.org/drawingml/2006/main">
                <a:srgbClr val="38BDF8"/>
              </a:solidFill>
              <a:ln xmlns:a="http://schemas.openxmlformats.org/drawingml/2006/main">
                <a:prstDash val="solid"/>
              </a:ln>
            </spPr>
          </dPt>
          <dPt>
            <idx val="6"/>
            <spPr>
              <a:solidFill xmlns:a="http://schemas.openxmlformats.org/drawingml/2006/main">
                <a:srgbClr val="3DD68C"/>
              </a:solidFill>
              <a:ln xmlns:a="http://schemas.openxmlformats.org/drawingml/2006/main">
                <a:prstDash val="solid"/>
              </a:ln>
            </spPr>
          </dPt>
          <dPt>
            <idx val="7"/>
            <spPr>
              <a:solidFill xmlns:a="http://schemas.openxmlformats.org/drawingml/2006/main">
                <a:srgbClr val="FF5A6A"/>
              </a:solidFill>
              <a:ln xmlns:a="http://schemas.openxmlformats.org/drawingml/2006/main">
                <a:prstDash val="solid"/>
              </a:ln>
            </spPr>
          </dPt>
          <dPt>
            <idx val="8"/>
            <spPr>
              <a:solidFill xmlns:a="http://schemas.openxmlformats.org/drawingml/2006/main">
                <a:srgbClr val="FF8A5B"/>
              </a:solidFill>
              <a:ln xmlns:a="http://schemas.openxmlformats.org/drawingml/2006/main">
                <a:prstDash val="solid"/>
              </a:ln>
            </spPr>
          </dPt>
          <cat>
            <numRef>
              <f>'Tablero'!$B$81:$B$89</f>
            </numRef>
          </cat>
          <val>
            <numRef>
              <f>'Tablero'!$C$81:$C$89</f>
            </numRef>
          </val>
        </ser>
        <gapWidth val="55"/>
        <overlap val="-10"/>
        <axId val="10"/>
        <axId val="100"/>
      </barChart>
      <catAx>
        <axId val="10"/>
        <scaling>
          <orientation val="minMax"/>
        </scaling>
        <delete val="0"/>
        <axPos val="l"/>
        <majorTickMark val="none"/>
        <minorTickMark val="none"/>
        <spPr>
          <a:ln xmlns:a="http://schemas.openxmlformats.org/drawingml/2006/main">
            <a:prstDash val="solid"/>
          </a:ln>
        </spPr>
        <txPr>
          <a:bodyPr xmlns:a="http://schemas.openxmlformats.org/drawingml/2006/main"/>
          <a:p xmlns:a="http://schemas.openxmlformats.org/drawingml/2006/main">
            <a:pPr>
              <a:defRPr sz="800">
                <a:solidFill>
                  <a:srgbClr val="6B7AB0"/>
                </a:solidFill>
                <a:latin typeface="Arial"/>
              </a:defRPr>
            </a:pPr>
            <a:r>
              <a:t>None</a:t>
            </a:r>
            <a:endParaRPr sz="800">
              <a:solidFill>
                <a:srgbClr val="6B7AB0"/>
              </a:solidFill>
            </a:endParaRPr>
          </a:p>
        </txPr>
        <crossAx val="100"/>
        <lblOffset val="100"/>
      </catAx>
      <valAx>
        <axId val="100"/>
        <scaling>
          <orientation val="minMax"/>
        </scaling>
        <delete val="0"/>
        <axPos val="l"/>
        <numFmt formatCode="&quot;$&quot;#,##0,,&quot;M&quot;;;&quot;—&quot;" sourceLinked="0"/>
        <majorTickMark val="none"/>
        <minorTickMark val="none"/>
        <spPr>
          <a:ln xmlns:a="http://schemas.openxmlformats.org/drawingml/2006/main">
            <a:prstDash val="solid"/>
          </a:ln>
        </spPr>
        <txPr>
          <a:bodyPr xmlns:a="http://schemas.openxmlformats.org/drawingml/2006/main"/>
          <a:p xmlns:a="http://schemas.openxmlformats.org/drawingml/2006/main">
            <a:pPr>
              <a:defRPr sz="800">
                <a:solidFill>
                  <a:srgbClr val="6B7AB0"/>
                </a:solidFill>
                <a:latin typeface="Arial"/>
              </a:defRPr>
            </a:pPr>
            <a:r>
              <a:t>None</a:t>
            </a:r>
            <a:endParaRPr sz="800">
              <a:solidFill>
                <a:srgbClr val="6B7AB0"/>
              </a:solidFill>
            </a:endParaRPr>
          </a:p>
        </txPr>
        <crossAx val="10"/>
      </valAx>
    </plotArea>
    <plotVisOnly val="1"/>
    <dispBlanksAs val="gap"/>
  </chart>
  <spPr>
    <a:solidFill xmlns:a="http://schemas.openxmlformats.org/drawingml/2006/main">
      <a:srgbClr val="111C52"/>
    </a:solidFill>
    <a:ln xmlns:a="http://schemas.openxmlformats.org/drawingml/2006/main">
      <a:prstDash val="solid"/>
    </a:ln>
  </spPr>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1</col>
      <colOff>0</colOff>
      <row>102</row>
      <rowOff>0</rowOff>
    </from>
    <ext cx="6840000" cy="3096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130</row>
      <rowOff>0</rowOff>
    </from>
    <ext cx="6840000" cy="3096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col>
      <colOff>0</colOff>
      <row>158</row>
      <rowOff>0</rowOff>
    </from>
    <ext cx="6840000" cy="2556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6.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filterMode="0">
    <outlinePr summaryBelow="1" summaryRight="1"/>
    <pageSetUpPr fitToPage="0"/>
  </sheetPr>
  <dimension ref="A1:H30"/>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3" customWidth="1" style="46" min="1" max="1"/>
    <col width="30" customWidth="1" style="46" min="2" max="2"/>
    <col width="60" customWidth="1" style="46" min="3" max="3"/>
    <col width="14" customWidth="1" style="46" min="4" max="8"/>
  </cols>
  <sheetData>
    <row r="1" ht="30" customHeight="1" s="47">
      <c r="A1" s="48" t="inlineStr">
        <is>
          <t>ADIMCLO  ·  Cadena de Electrodomésticos · Rentabilidad, Inventario y Capital de Trabajo</t>
        </is>
      </c>
    </row>
    <row r="2" ht="18" customHeight="1" s="47">
      <c r="A2" s="49" t="inlineStr">
        <is>
          <t>Plantilla gratuita ADIMCLO · Analítica de datos para el comercio minorista en Colombia</t>
        </is>
      </c>
    </row>
    <row r="4" ht="39.75" customHeight="1" s="47">
      <c r="B4" s="50" t="inlineStr">
        <is>
          <t>Usted compra directo al fabricante, en volumen y con plazos largos. Cada peso mal puesto en inventario se queda quieto meses, y cada punto de descuento que da en piso se lo resta al rebate que negoció. Esta plantilla cruza tienda, marca, precio y financiación para mostrarle dónde se está yendo la rentabilidad.</t>
        </is>
      </c>
    </row>
    <row r="7" ht="15" customHeight="1" s="47">
      <c r="B7" s="51" t="inlineStr">
        <is>
          <t>Cómo usarla</t>
        </is>
      </c>
    </row>
    <row r="8" ht="27.75" customHeight="1" s="47">
      <c r="B8" s="52" t="inlineStr">
        <is>
          <t>1. Ajuste los parámetros</t>
        </is>
      </c>
      <c r="C8" s="53" t="inlineStr">
        <is>
          <t>Abajo: días del periodo, plazo de entrega del fabricante, meta de días de inventario, costo del capital y costo de cada forma de pago.</t>
        </is>
      </c>
    </row>
    <row r="9" ht="27.75" customHeight="1" s="47">
      <c r="B9" s="52" t="inlineStr">
        <is>
          <t>2. Cargue tiendas y portafolio</t>
        </is>
      </c>
      <c r="C9" s="53" t="inlineStr">
        <is>
          <t>Hojas «Tiendas» y «Productos»: incluya el costo de lista del fabricante y el rebate negociado, para trabajar sobre costo neto real.</t>
        </is>
      </c>
    </row>
    <row r="10" ht="27.75" customHeight="1" s="47">
      <c r="B10" s="52" t="inlineStr">
        <is>
          <t>3. Cargue inventario y ventas</t>
        </is>
      </c>
      <c r="C10" s="53" t="inlineStr">
        <is>
          <t>Hoja «Inventario por tienda»: una fila por combinación SKU–tienda. Hoja «Ventas»: fecha, tienda, SKU, cantidad, descuento y forma de pago.</t>
        </is>
      </c>
    </row>
    <row r="11" ht="27.75" customHeight="1" s="47">
      <c r="B11" s="52" t="inlineStr">
        <is>
          <t>4. Lea el tablero</t>
        </is>
      </c>
      <c r="C11" s="53" t="inlineStr">
        <is>
          <t>Hoja «Tablero»: rentabilidad por tienda y por marca, capital de trabajo inmovilizado, margen real después de financiación y traslados sugeridos.</t>
        </is>
      </c>
    </row>
    <row r="12" ht="27.75" customHeight="1" s="47">
      <c r="B12" s="52" t="inlineStr">
        <is>
          <t>5. Decida</t>
        </is>
      </c>
      <c r="C12" s="53" t="inlineStr">
        <is>
          <t>Negocie con el fabricante lo que la marca no está devolviendo, mueva el inventario entre tiendas y corrija la política de descuento.</t>
        </is>
      </c>
    </row>
    <row r="14" ht="15" customHeight="1" s="47">
      <c r="B14" s="51" t="inlineStr">
        <is>
          <t>Leyenda de colores</t>
        </is>
      </c>
    </row>
    <row r="15" ht="15" customHeight="1" s="47">
      <c r="B15" s="54" t="inlineStr">
        <is>
          <t xml:space="preserve">      </t>
        </is>
      </c>
      <c r="C15" s="55" t="inlineStr">
        <is>
          <t>Celdas amarillas: usted escribe aquí.</t>
        </is>
      </c>
    </row>
    <row r="16" ht="15" customHeight="1" s="47">
      <c r="B16" s="56" t="inlineStr">
        <is>
          <t xml:space="preserve">      </t>
        </is>
      </c>
      <c r="C16" s="55" t="inlineStr">
        <is>
          <t>Celdas blancas con fórmula: no las toque.</t>
        </is>
      </c>
    </row>
    <row r="17" ht="15" customHeight="1" s="47">
      <c r="B17" s="57" t="inlineStr">
        <is>
          <t xml:space="preserve">      </t>
        </is>
      </c>
      <c r="C17" s="55" t="inlineStr">
        <is>
          <t>Celdas azul claro: resultados del tablero.</t>
        </is>
      </c>
    </row>
    <row r="19" ht="25.5" customHeight="1" s="47">
      <c r="B19" s="58" t="inlineStr">
        <is>
          <t>Esta plantilla es un prototipo básico. Si su negocio ya la superó, en la hoja «Servicios ADIMCLO» está el siguiente paso.</t>
        </is>
      </c>
    </row>
    <row r="21" ht="15" customHeight="1" s="47">
      <c r="B21" s="51" t="inlineStr">
        <is>
          <t>Parámetros del análisis</t>
        </is>
      </c>
    </row>
    <row r="22" ht="15" customHeight="1" s="47">
      <c r="B22" s="59" t="inlineStr">
        <is>
          <t>Días del periodo analizado</t>
        </is>
      </c>
      <c r="C22" s="60" t="n">
        <v>30</v>
      </c>
    </row>
    <row r="23" ht="15" customHeight="1" s="47">
      <c r="B23" s="59" t="inlineStr">
        <is>
          <t>Plazo de entrega del fabricante (días)</t>
        </is>
      </c>
      <c r="C23" s="60" t="n">
        <v>45</v>
      </c>
    </row>
    <row r="24" ht="15" customHeight="1" s="47">
      <c r="B24" s="59" t="inlineStr">
        <is>
          <t>Meta de días de inventario</t>
        </is>
      </c>
      <c r="C24" s="60" t="n">
        <v>60</v>
      </c>
    </row>
    <row r="25" ht="15" customHeight="1" s="47">
      <c r="B25" s="59" t="inlineStr">
        <is>
          <t>Costo financiero anual del capital</t>
        </is>
      </c>
      <c r="C25" s="61" t="n">
        <v>0.18</v>
      </c>
    </row>
    <row r="26" ht="15" customHeight="1" s="47">
      <c r="B26" s="59" t="inlineStr">
        <is>
          <t>Costo de venta de contado</t>
        </is>
      </c>
      <c r="C26" s="61" t="n">
        <v>0</v>
      </c>
    </row>
    <row r="27" ht="15" customHeight="1" s="47">
      <c r="B27" s="59" t="inlineStr">
        <is>
          <t>Costo de venta con tarjeta</t>
        </is>
      </c>
      <c r="C27" s="61" t="n">
        <v>0.035</v>
      </c>
    </row>
    <row r="28" ht="15" customHeight="1" s="47">
      <c r="B28" s="59" t="inlineStr">
        <is>
          <t>Costo de venta a crédito propio</t>
        </is>
      </c>
      <c r="C28" s="61" t="n">
        <v>0.08</v>
      </c>
    </row>
    <row r="30" ht="19.4" customHeight="1" s="47">
      <c r="B30" s="62" t="inlineStr">
        <is>
          <t>El costo de cada forma de pago es lo que le cuesta a la cadena vender así: comisión de la franquicia, costo del dinero en cuotas propias o cero si es contado. Sin ese ajuste, el margen que usted ve está inflado.</t>
        </is>
      </c>
    </row>
  </sheetData>
  <mergeCells count="5">
    <mergeCell ref="B30:C30"/>
    <mergeCell ref="B19:C19"/>
    <mergeCell ref="A2:H2"/>
    <mergeCell ref="A1:H1"/>
    <mergeCell ref="B4:C4"/>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A1:F21"/>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16" customWidth="1" style="46" min="1" max="1"/>
    <col width="32" customWidth="1" style="46" min="2" max="2"/>
    <col width="16" customWidth="1" style="46" min="3" max="3"/>
    <col width="18" customWidth="1" style="46" min="4" max="4"/>
    <col width="24" customWidth="1" style="46" min="5" max="5"/>
    <col width="16" customWidth="1" style="46" min="6" max="6"/>
  </cols>
  <sheetData>
    <row r="1" ht="30" customHeight="1" s="47">
      <c r="A1" s="48" t="inlineStr">
        <is>
          <t>ADIMCLO  ·  Puntos de venta de la cadena</t>
        </is>
      </c>
    </row>
    <row r="2" ht="18" customHeight="1" s="47">
      <c r="A2" s="49" t="inlineStr">
        <is>
          <t>Escriba una fila por tienda. El código debe coincidir con el que use en las demás hojas.</t>
        </is>
      </c>
    </row>
    <row r="4" ht="30" customHeight="1" s="47">
      <c r="A4" s="63" t="inlineStr">
        <is>
          <t>Código de tienda</t>
        </is>
      </c>
      <c r="B4" s="63" t="inlineStr">
        <is>
          <t>Nombre del punto de venta</t>
        </is>
      </c>
      <c r="C4" s="63" t="inlineStr">
        <is>
          <t>Ciudad</t>
        </is>
      </c>
      <c r="D4" s="63" t="inlineStr">
        <is>
          <t>Formato</t>
        </is>
      </c>
      <c r="E4" s="63" t="inlineStr">
        <is>
          <t>Responsable</t>
        </is>
      </c>
      <c r="F4" s="63" t="inlineStr">
        <is>
          <t>Fecha de apertura</t>
        </is>
      </c>
    </row>
    <row r="5" ht="15" customHeight="1" s="47">
      <c r="A5" s="182" t="inlineStr">
        <is>
          <t>T01</t>
        </is>
      </c>
      <c r="B5" s="182" t="inlineStr">
        <is>
          <t>Centro Mayor</t>
        </is>
      </c>
      <c r="C5" s="182" t="inlineStr">
        <is>
          <t>Bogotá</t>
        </is>
      </c>
      <c r="D5" s="182" t="inlineStr">
        <is>
          <t>Centro comercial</t>
        </is>
      </c>
      <c r="E5" s="182" t="inlineStr">
        <is>
          <t>Ana Gómez</t>
        </is>
      </c>
      <c r="F5" s="183" t="n">
        <v>44296</v>
      </c>
    </row>
    <row r="6" ht="15" customHeight="1" s="47">
      <c r="A6" s="182" t="inlineStr">
        <is>
          <t>T02</t>
        </is>
      </c>
      <c r="B6" s="182" t="inlineStr">
        <is>
          <t>Av. Sexta</t>
        </is>
      </c>
      <c r="C6" s="182" t="inlineStr">
        <is>
          <t>Cali</t>
        </is>
      </c>
      <c r="D6" s="182" t="inlineStr">
        <is>
          <t>Calle</t>
        </is>
      </c>
      <c r="E6" s="182" t="inlineStr">
        <is>
          <t>Jorge Ramírez</t>
        </is>
      </c>
      <c r="F6" s="183" t="n">
        <v>43699</v>
      </c>
    </row>
    <row r="7" ht="15" customHeight="1" s="47">
      <c r="A7" s="182" t="inlineStr">
        <is>
          <t>T03</t>
        </is>
      </c>
      <c r="B7" s="182" t="inlineStr">
        <is>
          <t>Portal del Prado</t>
        </is>
      </c>
      <c r="C7" s="182" t="inlineStr">
        <is>
          <t>Barranquilla</t>
        </is>
      </c>
      <c r="D7" s="182" t="inlineStr">
        <is>
          <t>Centro comercial</t>
        </is>
      </c>
      <c r="E7" s="182" t="inlineStr">
        <is>
          <t>Diana Salcedo</t>
        </is>
      </c>
      <c r="F7" s="183" t="n">
        <v>44870</v>
      </c>
    </row>
    <row r="8" ht="15" customHeight="1" s="47">
      <c r="A8" s="182" t="inlineStr">
        <is>
          <t>T04</t>
        </is>
      </c>
      <c r="B8" s="182" t="inlineStr">
        <is>
          <t>Bodega Industriales</t>
        </is>
      </c>
      <c r="C8" s="182" t="inlineStr">
        <is>
          <t>Medellín</t>
        </is>
      </c>
      <c r="D8" s="182" t="inlineStr">
        <is>
          <t>Bodega</t>
        </is>
      </c>
      <c r="E8" s="182" t="inlineStr">
        <is>
          <t>Camilo Restrepo</t>
        </is>
      </c>
      <c r="F8" s="183" t="n">
        <v>45003</v>
      </c>
    </row>
    <row r="9" ht="15" customHeight="1" s="47">
      <c r="A9" s="182" t="inlineStr">
        <is>
          <t>T05</t>
        </is>
      </c>
      <c r="B9" s="182" t="inlineStr">
        <is>
          <t>Cacique</t>
        </is>
      </c>
      <c r="C9" s="182" t="inlineStr">
        <is>
          <t>Bucaramanga</t>
        </is>
      </c>
      <c r="D9" s="182" t="inlineStr">
        <is>
          <t>Centro comercial</t>
        </is>
      </c>
      <c r="E9" s="182" t="inlineStr">
        <is>
          <t>Paola Villamizar</t>
        </is>
      </c>
      <c r="F9" s="183" t="n">
        <v>44077</v>
      </c>
    </row>
    <row r="10" ht="15" customHeight="1" s="47">
      <c r="A10" s="182" t="inlineStr">
        <is>
          <t>T06</t>
        </is>
      </c>
      <c r="B10" s="182" t="inlineStr">
        <is>
          <t>Victoria</t>
        </is>
      </c>
      <c r="C10" s="182" t="inlineStr">
        <is>
          <t>Pereira</t>
        </is>
      </c>
      <c r="D10" s="182" t="inlineStr">
        <is>
          <t>Centro comercial</t>
        </is>
      </c>
      <c r="E10" s="182" t="inlineStr">
        <is>
          <t>Andrés Ocampo</t>
        </is>
      </c>
      <c r="F10" s="183" t="n">
        <v>45336</v>
      </c>
    </row>
    <row r="11" ht="15" customHeight="1" s="47">
      <c r="A11" s="64" t="n"/>
      <c r="B11" s="64" t="n"/>
      <c r="C11" s="64" t="n"/>
      <c r="D11" s="64" t="n"/>
      <c r="E11" s="64" t="n"/>
      <c r="F11" s="65" t="n"/>
    </row>
    <row r="12" ht="15" customHeight="1" s="47">
      <c r="A12" s="64" t="n"/>
      <c r="B12" s="64" t="n"/>
      <c r="C12" s="64" t="n"/>
      <c r="D12" s="64" t="n"/>
      <c r="E12" s="64" t="n"/>
      <c r="F12" s="65" t="n"/>
    </row>
    <row r="13" ht="15" customHeight="1" s="47">
      <c r="A13" s="64" t="n"/>
      <c r="B13" s="64" t="n"/>
      <c r="C13" s="64" t="n"/>
      <c r="D13" s="64" t="n"/>
      <c r="E13" s="64" t="n"/>
      <c r="F13" s="65" t="n"/>
    </row>
    <row r="14" ht="15" customHeight="1" s="47">
      <c r="A14" s="64" t="n"/>
      <c r="B14" s="64" t="n"/>
      <c r="C14" s="64" t="n"/>
      <c r="D14" s="64" t="n"/>
      <c r="E14" s="64" t="n"/>
      <c r="F14" s="65" t="n"/>
    </row>
    <row r="15" ht="15" customHeight="1" s="47">
      <c r="A15" s="64" t="n"/>
      <c r="B15" s="64" t="n"/>
      <c r="C15" s="64" t="n"/>
      <c r="D15" s="64" t="n"/>
      <c r="E15" s="64" t="n"/>
      <c r="F15" s="65" t="n"/>
    </row>
    <row r="16" ht="15" customHeight="1" s="47">
      <c r="A16" s="64" t="n"/>
      <c r="B16" s="64" t="n"/>
      <c r="C16" s="64" t="n"/>
      <c r="D16" s="64" t="n"/>
      <c r="E16" s="64" t="n"/>
      <c r="F16" s="65" t="n"/>
    </row>
    <row r="17" ht="15" customHeight="1" s="47">
      <c r="A17" s="64" t="n"/>
      <c r="B17" s="64" t="n"/>
      <c r="C17" s="64" t="n"/>
      <c r="D17" s="64" t="n"/>
      <c r="E17" s="64" t="n"/>
      <c r="F17" s="65" t="n"/>
    </row>
    <row r="18" ht="15" customHeight="1" s="47">
      <c r="A18" s="64" t="n"/>
      <c r="B18" s="64" t="n"/>
      <c r="C18" s="64" t="n"/>
      <c r="D18" s="64" t="n"/>
      <c r="E18" s="64" t="n"/>
      <c r="F18" s="65" t="n"/>
    </row>
    <row r="19" ht="15" customHeight="1" s="47">
      <c r="A19" s="64" t="n"/>
      <c r="B19" s="64" t="n"/>
      <c r="C19" s="64" t="n"/>
      <c r="D19" s="64" t="n"/>
      <c r="E19" s="64" t="n"/>
      <c r="F19" s="65" t="n"/>
    </row>
    <row r="20"/>
    <row r="21" ht="15" customHeight="1" s="47">
      <c r="A21" s="62" t="n"/>
    </row>
  </sheetData>
  <mergeCells count="3">
    <mergeCell ref="A2:F2"/>
    <mergeCell ref="A21:F21"/>
    <mergeCell ref="A1:F1"/>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0"/>
  </sheetPr>
  <dimension ref="A1:K126"/>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12" customWidth="1" style="46" min="1" max="1"/>
    <col width="34" customWidth="1" style="46" min="2" max="2"/>
    <col width="18" customWidth="1" style="46" min="3" max="3"/>
    <col width="20" customWidth="1" style="46" min="4" max="4"/>
    <col width="15" customWidth="1" style="46" min="5" max="5"/>
    <col width="13" customWidth="1" style="46" min="6" max="6"/>
    <col width="14" customWidth="1" style="46" min="7" max="8"/>
    <col width="15" customWidth="1" style="46" min="9" max="9"/>
    <col width="14" customWidth="1" style="46" min="10" max="11"/>
  </cols>
  <sheetData>
    <row r="1" ht="30" customHeight="1" s="47">
      <c r="A1" s="48" t="inlineStr">
        <is>
          <t>ADIMCLO  ·  Portafolio y condiciones de compra</t>
        </is>
      </c>
    </row>
    <row r="2" ht="18" customHeight="1" s="47">
      <c r="A2" s="49" t="inlineStr">
        <is>
          <t>El rebate es el descuento por volumen que usted negoció con el fabricante. Sin él, su costo real está mal.</t>
        </is>
      </c>
    </row>
    <row r="4" ht="30" customHeight="1" s="47">
      <c r="A4" s="63" t="inlineStr">
        <is>
          <t>SKU</t>
        </is>
      </c>
      <c r="B4" s="63" t="inlineStr">
        <is>
          <t>Descripción</t>
        </is>
      </c>
      <c r="C4" s="63" t="inlineStr">
        <is>
          <t>Categoría</t>
        </is>
      </c>
      <c r="D4" s="63" t="inlineStr">
        <is>
          <t>Marca / Fabricante</t>
        </is>
      </c>
      <c r="E4" s="63" t="inlineStr">
        <is>
          <t>Costo de lista del fabricante</t>
        </is>
      </c>
      <c r="F4" s="63" t="inlineStr">
        <is>
          <t>Rebate negociado %</t>
        </is>
      </c>
      <c r="G4" s="63" t="inlineStr">
        <is>
          <t>Costo neto real</t>
        </is>
      </c>
      <c r="H4" s="63" t="inlineStr">
        <is>
          <t>Precio de lista</t>
        </is>
      </c>
      <c r="I4" s="63" t="inlineStr">
        <is>
          <t>Precio mínimo autorizado</t>
        </is>
      </c>
      <c r="J4" s="63" t="inlineStr">
        <is>
          <t>Margen a precio de lista %</t>
        </is>
      </c>
      <c r="K4" s="63" t="inlineStr">
        <is>
          <t>Margen a precio mínimo %</t>
        </is>
      </c>
    </row>
    <row r="5" ht="15" customHeight="1" s="47">
      <c r="A5" s="182" t="inlineStr">
        <is>
          <t>EL-001</t>
        </is>
      </c>
      <c r="B5" s="182" t="inlineStr">
        <is>
          <t>Nevera No Frost 320 L</t>
        </is>
      </c>
      <c r="C5" s="182" t="inlineStr">
        <is>
          <t>Refrigeración</t>
        </is>
      </c>
      <c r="D5" s="182" t="inlineStr">
        <is>
          <t>Marca A</t>
        </is>
      </c>
      <c r="E5" s="184" t="n">
        <v>1850000</v>
      </c>
      <c r="F5" s="185" t="n">
        <v>0.12</v>
      </c>
      <c r="G5" s="68">
        <f>IF($E5="","",$E5*(1-$F5))</f>
        <v/>
      </c>
      <c r="H5" s="184" t="n">
        <v>2090000</v>
      </c>
      <c r="I5" s="184" t="n">
        <v>1940000</v>
      </c>
      <c r="J5" s="69">
        <f>IFERROR(($H5-$G5)/$H5,"")</f>
        <v/>
      </c>
      <c r="K5" s="69">
        <f>IFERROR(($I5-$G5)/$I5,"")</f>
        <v/>
      </c>
    </row>
    <row r="6" ht="15" customHeight="1" s="47">
      <c r="A6" s="182" t="inlineStr">
        <is>
          <t>EL-002</t>
        </is>
      </c>
      <c r="B6" s="182" t="inlineStr">
        <is>
          <t>Nevera No Frost 420 L</t>
        </is>
      </c>
      <c r="C6" s="182" t="inlineStr">
        <is>
          <t>Refrigeración</t>
        </is>
      </c>
      <c r="D6" s="182" t="inlineStr">
        <is>
          <t>Marca A</t>
        </is>
      </c>
      <c r="E6" s="184" t="n">
        <v>2450000</v>
      </c>
      <c r="F6" s="185" t="n">
        <v>0.12</v>
      </c>
      <c r="G6" s="68">
        <f>IF($E6="","",$E6*(1-$F6))</f>
        <v/>
      </c>
      <c r="H6" s="184" t="n">
        <v>2760000</v>
      </c>
      <c r="I6" s="184" t="n">
        <v>2570000</v>
      </c>
      <c r="J6" s="69">
        <f>IFERROR(($H6-$G6)/$H6,"")</f>
        <v/>
      </c>
      <c r="K6" s="69">
        <f>IFERROR(($I6-$G6)/$I6,"")</f>
        <v/>
      </c>
    </row>
    <row r="7" ht="15" customHeight="1" s="47">
      <c r="A7" s="182" t="inlineStr">
        <is>
          <t>EL-003</t>
        </is>
      </c>
      <c r="B7" s="182" t="inlineStr">
        <is>
          <t>Nevera congelador superior 250 L</t>
        </is>
      </c>
      <c r="C7" s="182" t="inlineStr">
        <is>
          <t>Refrigeración</t>
        </is>
      </c>
      <c r="D7" s="182" t="inlineStr">
        <is>
          <t>Marca C</t>
        </is>
      </c>
      <c r="E7" s="184" t="n">
        <v>1290000</v>
      </c>
      <c r="F7" s="185" t="n">
        <v>0.08</v>
      </c>
      <c r="G7" s="68">
        <f>IF($E7="","",$E7*(1-$F7))</f>
        <v/>
      </c>
      <c r="H7" s="184" t="n">
        <v>1520000</v>
      </c>
      <c r="I7" s="184" t="n">
        <v>1410000</v>
      </c>
      <c r="J7" s="69">
        <f>IFERROR(($H7-$G7)/$H7,"")</f>
        <v/>
      </c>
      <c r="K7" s="69">
        <f>IFERROR(($I7-$G7)/$I7,"")</f>
        <v/>
      </c>
    </row>
    <row r="8" ht="15" customHeight="1" s="47">
      <c r="A8" s="182" t="inlineStr">
        <is>
          <t>EL-004</t>
        </is>
      </c>
      <c r="B8" s="182" t="inlineStr">
        <is>
          <t>Congelador horizontal 200 L</t>
        </is>
      </c>
      <c r="C8" s="182" t="inlineStr">
        <is>
          <t>Refrigeración</t>
        </is>
      </c>
      <c r="D8" s="182" t="inlineStr">
        <is>
          <t>Marca E</t>
        </is>
      </c>
      <c r="E8" s="184" t="n">
        <v>1620000</v>
      </c>
      <c r="F8" s="185" t="n">
        <v>0.06</v>
      </c>
      <c r="G8" s="68">
        <f>IF($E8="","",$E8*(1-$F8))</f>
        <v/>
      </c>
      <c r="H8" s="184" t="n">
        <v>1950000</v>
      </c>
      <c r="I8" s="184" t="n">
        <v>1810000</v>
      </c>
      <c r="J8" s="69">
        <f>IFERROR(($H8-$G8)/$H8,"")</f>
        <v/>
      </c>
      <c r="K8" s="69">
        <f>IFERROR(($I8-$G8)/$I8,"")</f>
        <v/>
      </c>
    </row>
    <row r="9" ht="15" customHeight="1" s="47">
      <c r="A9" s="182" t="inlineStr">
        <is>
          <t>EL-005</t>
        </is>
      </c>
      <c r="B9" s="182" t="inlineStr">
        <is>
          <t>Nevecón side by side 550 L</t>
        </is>
      </c>
      <c r="C9" s="182" t="inlineStr">
        <is>
          <t>Refrigeración</t>
        </is>
      </c>
      <c r="D9" s="182" t="inlineStr">
        <is>
          <t>Marca B</t>
        </is>
      </c>
      <c r="E9" s="184" t="n">
        <v>4200000</v>
      </c>
      <c r="F9" s="185" t="n">
        <v>0.15</v>
      </c>
      <c r="G9" s="68">
        <f>IF($E9="","",$E9*(1-$F9))</f>
        <v/>
      </c>
      <c r="H9" s="184" t="n">
        <v>4580000</v>
      </c>
      <c r="I9" s="184" t="n">
        <v>4260000</v>
      </c>
      <c r="J9" s="69">
        <f>IFERROR(($H9-$G9)/$H9,"")</f>
        <v/>
      </c>
      <c r="K9" s="69">
        <f>IFERROR(($I9-$G9)/$I9,"")</f>
        <v/>
      </c>
    </row>
    <row r="10" ht="15" customHeight="1" s="47">
      <c r="A10" s="182" t="inlineStr">
        <is>
          <t>EL-006</t>
        </is>
      </c>
      <c r="B10" s="182" t="inlineStr">
        <is>
          <t>Lavadora carga superior 19 kg</t>
        </is>
      </c>
      <c r="C10" s="182" t="inlineStr">
        <is>
          <t>Lavado</t>
        </is>
      </c>
      <c r="D10" s="182" t="inlineStr">
        <is>
          <t>Marca B</t>
        </is>
      </c>
      <c r="E10" s="184" t="n">
        <v>1180000</v>
      </c>
      <c r="F10" s="185" t="n">
        <v>0.14</v>
      </c>
      <c r="G10" s="68">
        <f>IF($E10="","",$E10*(1-$F10))</f>
        <v/>
      </c>
      <c r="H10" s="184" t="n">
        <v>1280000</v>
      </c>
      <c r="I10" s="184" t="n">
        <v>1190000</v>
      </c>
      <c r="J10" s="69">
        <f>IFERROR(($H10-$G10)/$H10,"")</f>
        <v/>
      </c>
      <c r="K10" s="69">
        <f>IFERROR(($I10-$G10)/$I10,"")</f>
        <v/>
      </c>
    </row>
    <row r="11" ht="15" customHeight="1" s="47">
      <c r="A11" s="182" t="inlineStr">
        <is>
          <t>EL-007</t>
        </is>
      </c>
      <c r="B11" s="182" t="inlineStr">
        <is>
          <t>Lavadora carga frontal 12 kg</t>
        </is>
      </c>
      <c r="C11" s="182" t="inlineStr">
        <is>
          <t>Lavado</t>
        </is>
      </c>
      <c r="D11" s="182" t="inlineStr">
        <is>
          <t>Marca B</t>
        </is>
      </c>
      <c r="E11" s="184" t="n">
        <v>1720000</v>
      </c>
      <c r="F11" s="185" t="n">
        <v>0.14</v>
      </c>
      <c r="G11" s="68">
        <f>IF($E11="","",$E11*(1-$F11))</f>
        <v/>
      </c>
      <c r="H11" s="184" t="n">
        <v>1870000</v>
      </c>
      <c r="I11" s="184" t="n">
        <v>1740000</v>
      </c>
      <c r="J11" s="69">
        <f>IFERROR(($H11-$G11)/$H11,"")</f>
        <v/>
      </c>
      <c r="K11" s="69">
        <f>IFERROR(($I11-$G11)/$I11,"")</f>
        <v/>
      </c>
    </row>
    <row r="12" ht="15" customHeight="1" s="47">
      <c r="A12" s="182" t="inlineStr">
        <is>
          <t>EL-008</t>
        </is>
      </c>
      <c r="B12" s="182" t="inlineStr">
        <is>
          <t>Lavadora carga superior 13 kg</t>
        </is>
      </c>
      <c r="C12" s="182" t="inlineStr">
        <is>
          <t>Lavado</t>
        </is>
      </c>
      <c r="D12" s="182" t="inlineStr">
        <is>
          <t>Marca C</t>
        </is>
      </c>
      <c r="E12" s="184" t="n">
        <v>890000</v>
      </c>
      <c r="F12" s="185" t="n">
        <v>0.09</v>
      </c>
      <c r="G12" s="68">
        <f>IF($E12="","",$E12*(1-$F12))</f>
        <v/>
      </c>
      <c r="H12" s="184" t="n">
        <v>1030000</v>
      </c>
      <c r="I12" s="184" t="n">
        <v>960000</v>
      </c>
      <c r="J12" s="69">
        <f>IFERROR(($H12-$G12)/$H12,"")</f>
        <v/>
      </c>
      <c r="K12" s="69">
        <f>IFERROR(($I12-$G12)/$I12,"")</f>
        <v/>
      </c>
    </row>
    <row r="13" ht="15" customHeight="1" s="47">
      <c r="A13" s="182" t="inlineStr">
        <is>
          <t>EL-009</t>
        </is>
      </c>
      <c r="B13" s="182" t="inlineStr">
        <is>
          <t>Secadora eléctrica 15 kg</t>
        </is>
      </c>
      <c r="C13" s="182" t="inlineStr">
        <is>
          <t>Lavado</t>
        </is>
      </c>
      <c r="D13" s="182" t="inlineStr">
        <is>
          <t>Marca A</t>
        </is>
      </c>
      <c r="E13" s="184" t="n">
        <v>1560000</v>
      </c>
      <c r="F13" s="185" t="n">
        <v>0.1</v>
      </c>
      <c r="G13" s="68">
        <f>IF($E13="","",$E13*(1-$F13))</f>
        <v/>
      </c>
      <c r="H13" s="184" t="n">
        <v>1780000</v>
      </c>
      <c r="I13" s="184" t="n">
        <v>1660000</v>
      </c>
      <c r="J13" s="69">
        <f>IFERROR(($H13-$G13)/$H13,"")</f>
        <v/>
      </c>
      <c r="K13" s="69">
        <f>IFERROR(($I13-$G13)/$I13,"")</f>
        <v/>
      </c>
    </row>
    <row r="14" ht="15" customHeight="1" s="47">
      <c r="A14" s="182" t="inlineStr">
        <is>
          <t>EL-010</t>
        </is>
      </c>
      <c r="B14" s="182" t="inlineStr">
        <is>
          <t>Lavaseca 10,5 kg</t>
        </is>
      </c>
      <c r="C14" s="182" t="inlineStr">
        <is>
          <t>Lavado</t>
        </is>
      </c>
      <c r="D14" s="182" t="inlineStr">
        <is>
          <t>Marca D</t>
        </is>
      </c>
      <c r="E14" s="184" t="n">
        <v>2050000</v>
      </c>
      <c r="F14" s="185" t="n">
        <v>0.11</v>
      </c>
      <c r="G14" s="68">
        <f>IF($E14="","",$E14*(1-$F14))</f>
        <v/>
      </c>
      <c r="H14" s="184" t="n">
        <v>2310000</v>
      </c>
      <c r="I14" s="184" t="n">
        <v>2150000</v>
      </c>
      <c r="J14" s="69">
        <f>IFERROR(($H14-$G14)/$H14,"")</f>
        <v/>
      </c>
      <c r="K14" s="69">
        <f>IFERROR(($I14-$G14)/$I14,"")</f>
        <v/>
      </c>
    </row>
    <row r="15" ht="15" customHeight="1" s="47">
      <c r="A15" s="182" t="inlineStr">
        <is>
          <t>EL-011</t>
        </is>
      </c>
      <c r="B15" s="182" t="inlineStr">
        <is>
          <t>Estufa 4 puestos con horno</t>
        </is>
      </c>
      <c r="C15" s="182" t="inlineStr">
        <is>
          <t>Cocina</t>
        </is>
      </c>
      <c r="D15" s="182" t="inlineStr">
        <is>
          <t>Marca C</t>
        </is>
      </c>
      <c r="E15" s="184" t="n">
        <v>760000</v>
      </c>
      <c r="F15" s="185" t="n">
        <v>0.07000000000000001</v>
      </c>
      <c r="G15" s="68">
        <f>IF($E15="","",$E15*(1-$F15))</f>
        <v/>
      </c>
      <c r="H15" s="184" t="n">
        <v>960000</v>
      </c>
      <c r="I15" s="184" t="n">
        <v>890000</v>
      </c>
      <c r="J15" s="69">
        <f>IFERROR(($H15-$G15)/$H15,"")</f>
        <v/>
      </c>
      <c r="K15" s="69">
        <f>IFERROR(($I15-$G15)/$I15,"")</f>
        <v/>
      </c>
    </row>
    <row r="16" ht="15" customHeight="1" s="47">
      <c r="A16" s="182" t="inlineStr">
        <is>
          <t>EL-012</t>
        </is>
      </c>
      <c r="B16" s="182" t="inlineStr">
        <is>
          <t>Estufa 6 puestos acero</t>
        </is>
      </c>
      <c r="C16" s="182" t="inlineStr">
        <is>
          <t>Cocina</t>
        </is>
      </c>
      <c r="D16" s="182" t="inlineStr">
        <is>
          <t>Marca C</t>
        </is>
      </c>
      <c r="E16" s="184" t="n">
        <v>1240000</v>
      </c>
      <c r="F16" s="185" t="n">
        <v>0.07000000000000001</v>
      </c>
      <c r="G16" s="68">
        <f>IF($E16="","",$E16*(1-$F16))</f>
        <v/>
      </c>
      <c r="H16" s="184" t="n">
        <v>1560000</v>
      </c>
      <c r="I16" s="184" t="n">
        <v>1450000</v>
      </c>
      <c r="J16" s="69">
        <f>IFERROR(($H16-$G16)/$H16,"")</f>
        <v/>
      </c>
      <c r="K16" s="69">
        <f>IFERROR(($I16-$G16)/$I16,"")</f>
        <v/>
      </c>
    </row>
    <row r="17" ht="15" customHeight="1" s="47">
      <c r="A17" s="182" t="inlineStr">
        <is>
          <t>EL-013</t>
        </is>
      </c>
      <c r="B17" s="182" t="inlineStr">
        <is>
          <t>Horno microondas 20 L</t>
        </is>
      </c>
      <c r="C17" s="182" t="inlineStr">
        <is>
          <t>Cocina</t>
        </is>
      </c>
      <c r="D17" s="182" t="inlineStr">
        <is>
          <t>Marca D</t>
        </is>
      </c>
      <c r="E17" s="184" t="n">
        <v>245000</v>
      </c>
      <c r="F17" s="185" t="n">
        <v>0.1</v>
      </c>
      <c r="G17" s="68">
        <f>IF($E17="","",$E17*(1-$F17))</f>
        <v/>
      </c>
      <c r="H17" s="184" t="n">
        <v>298000</v>
      </c>
      <c r="I17" s="184" t="n">
        <v>277000</v>
      </c>
      <c r="J17" s="69">
        <f>IFERROR(($H17-$G17)/$H17,"")</f>
        <v/>
      </c>
      <c r="K17" s="69">
        <f>IFERROR(($I17-$G17)/$I17,"")</f>
        <v/>
      </c>
    </row>
    <row r="18" ht="15" customHeight="1" s="47">
      <c r="A18" s="182" t="inlineStr">
        <is>
          <t>EL-014</t>
        </is>
      </c>
      <c r="B18" s="182" t="inlineStr">
        <is>
          <t>Campana extractora 60 cm</t>
        </is>
      </c>
      <c r="C18" s="182" t="inlineStr">
        <is>
          <t>Cocina</t>
        </is>
      </c>
      <c r="D18" s="182" t="inlineStr">
        <is>
          <t>Marca E</t>
        </is>
      </c>
      <c r="E18" s="184" t="n">
        <v>380000</v>
      </c>
      <c r="F18" s="185" t="n">
        <v>0.05</v>
      </c>
      <c r="G18" s="68">
        <f>IF($E18="","",$E18*(1-$F18))</f>
        <v/>
      </c>
      <c r="H18" s="184" t="n">
        <v>488000</v>
      </c>
      <c r="I18" s="184" t="n">
        <v>454000</v>
      </c>
      <c r="J18" s="69">
        <f>IFERROR(($H18-$G18)/$H18,"")</f>
        <v/>
      </c>
      <c r="K18" s="69">
        <f>IFERROR(($I18-$G18)/$I18,"")</f>
        <v/>
      </c>
    </row>
    <row r="19" ht="15" customHeight="1" s="47">
      <c r="A19" s="182" t="inlineStr">
        <is>
          <t>EL-015</t>
        </is>
      </c>
      <c r="B19" s="182" t="inlineStr">
        <is>
          <t>Cubierta de inducción 2 puestos</t>
        </is>
      </c>
      <c r="C19" s="182" t="inlineStr">
        <is>
          <t>Cocina</t>
        </is>
      </c>
      <c r="D19" s="182" t="inlineStr">
        <is>
          <t>Marca D</t>
        </is>
      </c>
      <c r="E19" s="184" t="n">
        <v>520000</v>
      </c>
      <c r="F19" s="185" t="n">
        <v>0.1</v>
      </c>
      <c r="G19" s="68">
        <f>IF($E19="","",$E19*(1-$F19))</f>
        <v/>
      </c>
      <c r="H19" s="184" t="n">
        <v>630000</v>
      </c>
      <c r="I19" s="184" t="n">
        <v>590000</v>
      </c>
      <c r="J19" s="69">
        <f>IFERROR(($H19-$G19)/$H19,"")</f>
        <v/>
      </c>
      <c r="K19" s="69">
        <f>IFERROR(($I19-$G19)/$I19,"")</f>
        <v/>
      </c>
    </row>
    <row r="20" ht="15" customHeight="1" s="47">
      <c r="A20" s="182" t="inlineStr">
        <is>
          <t>EL-016</t>
        </is>
      </c>
      <c r="B20" s="182" t="inlineStr">
        <is>
          <t>Aire acondicionado 12.000 BTU</t>
        </is>
      </c>
      <c r="C20" s="182" t="inlineStr">
        <is>
          <t>Climatización</t>
        </is>
      </c>
      <c r="D20" s="182" t="inlineStr">
        <is>
          <t>Marca B</t>
        </is>
      </c>
      <c r="E20" s="184" t="n">
        <v>1090000</v>
      </c>
      <c r="F20" s="185" t="n">
        <v>0.13</v>
      </c>
      <c r="G20" s="68">
        <f>IF($E20="","",$E20*(1-$F20))</f>
        <v/>
      </c>
      <c r="H20" s="184" t="n">
        <v>1250000</v>
      </c>
      <c r="I20" s="184" t="n">
        <v>1160000</v>
      </c>
      <c r="J20" s="69">
        <f>IFERROR(($H20-$G20)/$H20,"")</f>
        <v/>
      </c>
      <c r="K20" s="69">
        <f>IFERROR(($I20-$G20)/$I20,"")</f>
        <v/>
      </c>
    </row>
    <row r="21" ht="15" customHeight="1" s="47">
      <c r="A21" s="182" t="inlineStr">
        <is>
          <t>EL-017</t>
        </is>
      </c>
      <c r="B21" s="182" t="inlineStr">
        <is>
          <t>Aire acondicionado 18.000 BTU</t>
        </is>
      </c>
      <c r="C21" s="182" t="inlineStr">
        <is>
          <t>Climatización</t>
        </is>
      </c>
      <c r="D21" s="182" t="inlineStr">
        <is>
          <t>Marca B</t>
        </is>
      </c>
      <c r="E21" s="184" t="n">
        <v>1580000</v>
      </c>
      <c r="F21" s="185" t="n">
        <v>0.13</v>
      </c>
      <c r="G21" s="68">
        <f>IF($E21="","",$E21*(1-$F21))</f>
        <v/>
      </c>
      <c r="H21" s="184" t="n">
        <v>1810000</v>
      </c>
      <c r="I21" s="184" t="n">
        <v>1680000</v>
      </c>
      <c r="J21" s="69">
        <f>IFERROR(($H21-$G21)/$H21,"")</f>
        <v/>
      </c>
      <c r="K21" s="69">
        <f>IFERROR(($I21-$G21)/$I21,"")</f>
        <v/>
      </c>
    </row>
    <row r="22" ht="15" customHeight="1" s="47">
      <c r="A22" s="182" t="inlineStr">
        <is>
          <t>EL-018</t>
        </is>
      </c>
      <c r="B22" s="182" t="inlineStr">
        <is>
          <t>Ventilador de pie 20"</t>
        </is>
      </c>
      <c r="C22" s="182" t="inlineStr">
        <is>
          <t>Climatización</t>
        </is>
      </c>
      <c r="D22" s="182" t="inlineStr">
        <is>
          <t>Marca E</t>
        </is>
      </c>
      <c r="E22" s="184" t="n">
        <v>98000</v>
      </c>
      <c r="F22" s="185" t="n">
        <v>0.05</v>
      </c>
      <c r="G22" s="68">
        <f>IF($E22="","",$E22*(1-$F22))</f>
        <v/>
      </c>
      <c r="H22" s="184" t="n">
        <v>122000</v>
      </c>
      <c r="I22" s="184" t="n">
        <v>113000</v>
      </c>
      <c r="J22" s="69">
        <f>IFERROR(($H22-$G22)/$H22,"")</f>
        <v/>
      </c>
      <c r="K22" s="69">
        <f>IFERROR(($I22-$G22)/$I22,"")</f>
        <v/>
      </c>
    </row>
    <row r="23" ht="15" customHeight="1" s="47">
      <c r="A23" s="182" t="inlineStr">
        <is>
          <t>EL-019</t>
        </is>
      </c>
      <c r="B23" s="182" t="inlineStr">
        <is>
          <t>Calentador de paso 6 L</t>
        </is>
      </c>
      <c r="C23" s="182" t="inlineStr">
        <is>
          <t>Climatización</t>
        </is>
      </c>
      <c r="D23" s="182" t="inlineStr">
        <is>
          <t>Marca E</t>
        </is>
      </c>
      <c r="E23" s="184" t="n">
        <v>340000</v>
      </c>
      <c r="F23" s="185" t="n">
        <v>0.06</v>
      </c>
      <c r="G23" s="68">
        <f>IF($E23="","",$E23*(1-$F23))</f>
        <v/>
      </c>
      <c r="H23" s="184" t="n">
        <v>421000</v>
      </c>
      <c r="I23" s="184" t="n">
        <v>392000</v>
      </c>
      <c r="J23" s="69">
        <f>IFERROR(($H23-$G23)/$H23,"")</f>
        <v/>
      </c>
      <c r="K23" s="69">
        <f>IFERROR(($I23-$G23)/$I23,"")</f>
        <v/>
      </c>
    </row>
    <row r="24" ht="15" customHeight="1" s="47">
      <c r="A24" s="182" t="inlineStr">
        <is>
          <t>EL-020</t>
        </is>
      </c>
      <c r="B24" s="182" t="inlineStr">
        <is>
          <t>Televisor LED 43" 4K</t>
        </is>
      </c>
      <c r="C24" s="182" t="inlineStr">
        <is>
          <t>Audio y video</t>
        </is>
      </c>
      <c r="D24" s="182" t="inlineStr">
        <is>
          <t>Marca A</t>
        </is>
      </c>
      <c r="E24" s="184" t="n">
        <v>880000</v>
      </c>
      <c r="F24" s="185" t="n">
        <v>0.16</v>
      </c>
      <c r="G24" s="68">
        <f>IF($E24="","",$E24*(1-$F24))</f>
        <v/>
      </c>
      <c r="H24" s="184" t="n">
        <v>870000</v>
      </c>
      <c r="I24" s="184" t="n">
        <v>810000</v>
      </c>
      <c r="J24" s="69">
        <f>IFERROR(($H24-$G24)/$H24,"")</f>
        <v/>
      </c>
      <c r="K24" s="69">
        <f>IFERROR(($I24-$G24)/$I24,"")</f>
        <v/>
      </c>
    </row>
    <row r="25" ht="15" customHeight="1" s="47">
      <c r="A25" s="182" t="inlineStr">
        <is>
          <t>EL-021</t>
        </is>
      </c>
      <c r="B25" s="182" t="inlineStr">
        <is>
          <t>Televisor LED 55" 4K</t>
        </is>
      </c>
      <c r="C25" s="182" t="inlineStr">
        <is>
          <t>Audio y video</t>
        </is>
      </c>
      <c r="D25" s="182" t="inlineStr">
        <is>
          <t>Marca A</t>
        </is>
      </c>
      <c r="E25" s="184" t="n">
        <v>1350000</v>
      </c>
      <c r="F25" s="185" t="n">
        <v>0.16</v>
      </c>
      <c r="G25" s="68">
        <f>IF($E25="","",$E25*(1-$F25))</f>
        <v/>
      </c>
      <c r="H25" s="184" t="n">
        <v>1330000</v>
      </c>
      <c r="I25" s="184" t="n">
        <v>1240000</v>
      </c>
      <c r="J25" s="69">
        <f>IFERROR(($H25-$G25)/$H25,"")</f>
        <v/>
      </c>
      <c r="K25" s="69">
        <f>IFERROR(($I25-$G25)/$I25,"")</f>
        <v/>
      </c>
    </row>
    <row r="26" ht="15" customHeight="1" s="47">
      <c r="A26" s="182" t="inlineStr">
        <is>
          <t>EL-022</t>
        </is>
      </c>
      <c r="B26" s="182" t="inlineStr">
        <is>
          <t>Televisor LED 65" 4K</t>
        </is>
      </c>
      <c r="C26" s="182" t="inlineStr">
        <is>
          <t>Audio y video</t>
        </is>
      </c>
      <c r="D26" s="182" t="inlineStr">
        <is>
          <t>Marca B</t>
        </is>
      </c>
      <c r="E26" s="184" t="n">
        <v>2180000</v>
      </c>
      <c r="F26" s="185" t="n">
        <v>0.15</v>
      </c>
      <c r="G26" s="68">
        <f>IF($E26="","",$E26*(1-$F26))</f>
        <v/>
      </c>
      <c r="H26" s="184" t="n">
        <v>2180000</v>
      </c>
      <c r="I26" s="184" t="n">
        <v>2030000</v>
      </c>
      <c r="J26" s="69">
        <f>IFERROR(($H26-$G26)/$H26,"")</f>
        <v/>
      </c>
      <c r="K26" s="69">
        <f>IFERROR(($I26-$G26)/$I26,"")</f>
        <v/>
      </c>
    </row>
    <row r="27" ht="15" customHeight="1" s="47">
      <c r="A27" s="182" t="inlineStr">
        <is>
          <t>EL-023</t>
        </is>
      </c>
      <c r="B27" s="182" t="inlineStr">
        <is>
          <t>Barra de sonido 2.1</t>
        </is>
      </c>
      <c r="C27" s="182" t="inlineStr">
        <is>
          <t>Audio y video</t>
        </is>
      </c>
      <c r="D27" s="182" t="inlineStr">
        <is>
          <t>Marca D</t>
        </is>
      </c>
      <c r="E27" s="184" t="n">
        <v>320000</v>
      </c>
      <c r="F27" s="185" t="n">
        <v>0.12</v>
      </c>
      <c r="G27" s="68">
        <f>IF($E27="","",$E27*(1-$F27))</f>
        <v/>
      </c>
      <c r="H27" s="184" t="n">
        <v>331000</v>
      </c>
      <c r="I27" s="184" t="n">
        <v>308000</v>
      </c>
      <c r="J27" s="69">
        <f>IFERROR(($H27-$G27)/$H27,"")</f>
        <v/>
      </c>
      <c r="K27" s="69">
        <f>IFERROR(($I27-$G27)/$I27,"")</f>
        <v/>
      </c>
    </row>
    <row r="28" ht="15" customHeight="1" s="47">
      <c r="A28" s="182" t="inlineStr">
        <is>
          <t>EL-024</t>
        </is>
      </c>
      <c r="B28" s="182" t="inlineStr">
        <is>
          <t>Parlante bluetooth portátil</t>
        </is>
      </c>
      <c r="C28" s="182" t="inlineStr">
        <is>
          <t>Audio y video</t>
        </is>
      </c>
      <c r="D28" s="182" t="inlineStr">
        <is>
          <t>Marca D</t>
        </is>
      </c>
      <c r="E28" s="184" t="n">
        <v>96000</v>
      </c>
      <c r="F28" s="185" t="n">
        <v>0.12</v>
      </c>
      <c r="G28" s="68">
        <f>IF($E28="","",$E28*(1-$F28))</f>
        <v/>
      </c>
      <c r="H28" s="184" t="n">
        <v>99000</v>
      </c>
      <c r="I28" s="184" t="n">
        <v>92000</v>
      </c>
      <c r="J28" s="69">
        <f>IFERROR(($H28-$G28)/$H28,"")</f>
        <v/>
      </c>
      <c r="K28" s="69">
        <f>IFERROR(($I28-$G28)/$I28,"")</f>
        <v/>
      </c>
    </row>
    <row r="29" ht="15" customHeight="1" s="47">
      <c r="A29" s="182" t="inlineStr">
        <is>
          <t>EL-025</t>
        </is>
      </c>
      <c r="B29" s="182" t="inlineStr">
        <is>
          <t>Licuadora 1,5 L vaso vidrio</t>
        </is>
      </c>
      <c r="C29" s="182" t="inlineStr">
        <is>
          <t>Pequeños electro</t>
        </is>
      </c>
      <c r="D29" s="182" t="inlineStr">
        <is>
          <t>Marca C</t>
        </is>
      </c>
      <c r="E29" s="184" t="n">
        <v>82000</v>
      </c>
      <c r="F29" s="185" t="n">
        <v>0.08</v>
      </c>
      <c r="G29" s="68">
        <f>IF($E29="","",$E29*(1-$F29))</f>
        <v/>
      </c>
      <c r="H29" s="184" t="n">
        <v>113000</v>
      </c>
      <c r="I29" s="184" t="n">
        <v>105000</v>
      </c>
      <c r="J29" s="69">
        <f>IFERROR(($H29-$G29)/$H29,"")</f>
        <v/>
      </c>
      <c r="K29" s="69">
        <f>IFERROR(($I29-$G29)/$I29,"")</f>
        <v/>
      </c>
    </row>
    <row r="30" ht="15" customHeight="1" s="47">
      <c r="A30" s="182" t="inlineStr">
        <is>
          <t>EL-026</t>
        </is>
      </c>
      <c r="B30" s="182" t="inlineStr">
        <is>
          <t>Freidora de aire 5 L</t>
        </is>
      </c>
      <c r="C30" s="182" t="inlineStr">
        <is>
          <t>Pequeños electro</t>
        </is>
      </c>
      <c r="D30" s="182" t="inlineStr">
        <is>
          <t>Marca D</t>
        </is>
      </c>
      <c r="E30" s="184" t="n">
        <v>178000</v>
      </c>
      <c r="F30" s="185" t="n">
        <v>0.12</v>
      </c>
      <c r="G30" s="68">
        <f>IF($E30="","",$E30*(1-$F30))</f>
        <v/>
      </c>
      <c r="H30" s="184" t="n">
        <v>234000</v>
      </c>
      <c r="I30" s="184" t="n">
        <v>218000</v>
      </c>
      <c r="J30" s="69">
        <f>IFERROR(($H30-$G30)/$H30,"")</f>
        <v/>
      </c>
      <c r="K30" s="69">
        <f>IFERROR(($I30-$G30)/$I30,"")</f>
        <v/>
      </c>
    </row>
    <row r="31" ht="15" customHeight="1" s="47">
      <c r="A31" s="182" t="inlineStr">
        <is>
          <t>EL-027</t>
        </is>
      </c>
      <c r="B31" s="182" t="inlineStr">
        <is>
          <t>Sanduchera doble</t>
        </is>
      </c>
      <c r="C31" s="182" t="inlineStr">
        <is>
          <t>Pequeños electro</t>
        </is>
      </c>
      <c r="D31" s="182" t="inlineStr">
        <is>
          <t>Marca E</t>
        </is>
      </c>
      <c r="E31" s="184" t="n">
        <v>54000</v>
      </c>
      <c r="F31" s="185" t="n">
        <v>0.05</v>
      </c>
      <c r="G31" s="68">
        <f>IF($E31="","",$E31*(1-$F31))</f>
        <v/>
      </c>
      <c r="H31" s="184" t="n">
        <v>77000</v>
      </c>
      <c r="I31" s="184" t="n">
        <v>72000</v>
      </c>
      <c r="J31" s="69">
        <f>IFERROR(($H31-$G31)/$H31,"")</f>
        <v/>
      </c>
      <c r="K31" s="69">
        <f>IFERROR(($I31-$G31)/$I31,"")</f>
        <v/>
      </c>
    </row>
    <row r="32" ht="15" customHeight="1" s="47">
      <c r="A32" s="182" t="inlineStr">
        <is>
          <t>EL-028</t>
        </is>
      </c>
      <c r="B32" s="182" t="inlineStr">
        <is>
          <t>Plancha de vapor</t>
        </is>
      </c>
      <c r="C32" s="182" t="inlineStr">
        <is>
          <t>Pequeños electro</t>
        </is>
      </c>
      <c r="D32" s="182" t="inlineStr">
        <is>
          <t>Marca E</t>
        </is>
      </c>
      <c r="E32" s="184" t="n">
        <v>46000</v>
      </c>
      <c r="F32" s="185" t="n">
        <v>0.05</v>
      </c>
      <c r="G32" s="68">
        <f>IF($E32="","",$E32*(1-$F32))</f>
        <v/>
      </c>
      <c r="H32" s="184" t="n">
        <v>65000</v>
      </c>
      <c r="I32" s="184" t="n">
        <v>60000</v>
      </c>
      <c r="J32" s="69">
        <f>IFERROR(($H32-$G32)/$H32,"")</f>
        <v/>
      </c>
      <c r="K32" s="69">
        <f>IFERROR(($I32-$G32)/$I32,"")</f>
        <v/>
      </c>
    </row>
    <row r="33" ht="15" customHeight="1" s="47">
      <c r="A33" s="182" t="inlineStr">
        <is>
          <t>EL-029</t>
        </is>
      </c>
      <c r="B33" s="182" t="inlineStr">
        <is>
          <t>Aspiradora de mano</t>
        </is>
      </c>
      <c r="C33" s="182" t="inlineStr">
        <is>
          <t>Pequeños electro</t>
        </is>
      </c>
      <c r="D33" s="182" t="inlineStr">
        <is>
          <t>Marca D</t>
        </is>
      </c>
      <c r="E33" s="184" t="n">
        <v>118000</v>
      </c>
      <c r="F33" s="185" t="n">
        <v>0.09</v>
      </c>
      <c r="G33" s="68">
        <f>IF($E33="","",$E33*(1-$F33))</f>
        <v/>
      </c>
      <c r="H33" s="184" t="n">
        <v>160000</v>
      </c>
      <c r="I33" s="184" t="n">
        <v>149000</v>
      </c>
      <c r="J33" s="69">
        <f>IFERROR(($H33-$G33)/$H33,"")</f>
        <v/>
      </c>
      <c r="K33" s="69">
        <f>IFERROR(($I33-$G33)/$I33,"")</f>
        <v/>
      </c>
    </row>
    <row r="34" ht="15" customHeight="1" s="47">
      <c r="A34" s="182" t="inlineStr">
        <is>
          <t>EL-030</t>
        </is>
      </c>
      <c r="B34" s="182" t="inlineStr">
        <is>
          <t>Olla arrocera 1,8 L</t>
        </is>
      </c>
      <c r="C34" s="182" t="inlineStr">
        <is>
          <t>Pequeños electro</t>
        </is>
      </c>
      <c r="D34" s="182" t="inlineStr">
        <is>
          <t>Marca C</t>
        </is>
      </c>
      <c r="E34" s="184" t="n">
        <v>68000</v>
      </c>
      <c r="F34" s="185" t="n">
        <v>0.08</v>
      </c>
      <c r="G34" s="68">
        <f>IF($E34="","",$E34*(1-$F34))</f>
        <v/>
      </c>
      <c r="H34" s="184" t="n">
        <v>93000</v>
      </c>
      <c r="I34" s="184" t="n">
        <v>86000</v>
      </c>
      <c r="J34" s="69">
        <f>IFERROR(($H34-$G34)/$H34,"")</f>
        <v/>
      </c>
      <c r="K34" s="69">
        <f>IFERROR(($I34-$G34)/$I34,"")</f>
        <v/>
      </c>
    </row>
    <row r="35" ht="15" customHeight="1" s="47">
      <c r="A35" s="182" t="inlineStr">
        <is>
          <t>EL-031</t>
        </is>
      </c>
      <c r="B35" s="182" t="inlineStr">
        <is>
          <t>Nevera bajo mesón 90 L</t>
        </is>
      </c>
      <c r="C35" s="182" t="inlineStr">
        <is>
          <t>Refrigeración</t>
        </is>
      </c>
      <c r="D35" s="182" t="inlineStr">
        <is>
          <t>Marca F</t>
        </is>
      </c>
      <c r="E35" s="184" t="n">
        <v>620000</v>
      </c>
      <c r="F35" s="185" t="n">
        <v>0.07000000000000001</v>
      </c>
      <c r="G35" s="68">
        <f>IF($E35="","",$E35*(1-$F35))</f>
        <v/>
      </c>
      <c r="H35" s="184" t="n">
        <v>740000</v>
      </c>
      <c r="I35" s="184" t="n">
        <v>690000</v>
      </c>
      <c r="J35" s="69">
        <f>IFERROR(($H35-$G35)/$H35,"")</f>
        <v/>
      </c>
      <c r="K35" s="69">
        <f>IFERROR(($I35-$G35)/$I35,"")</f>
        <v/>
      </c>
    </row>
    <row r="36" ht="15" customHeight="1" s="47">
      <c r="A36" s="182" t="inlineStr">
        <is>
          <t>EL-032</t>
        </is>
      </c>
      <c r="B36" s="182" t="inlineStr">
        <is>
          <t>Nevera No Frost 500 L</t>
        </is>
      </c>
      <c r="C36" s="182" t="inlineStr">
        <is>
          <t>Refrigeración</t>
        </is>
      </c>
      <c r="D36" s="182" t="inlineStr">
        <is>
          <t>Marca B</t>
        </is>
      </c>
      <c r="E36" s="184" t="n">
        <v>3150000</v>
      </c>
      <c r="F36" s="185" t="n">
        <v>0.15</v>
      </c>
      <c r="G36" s="68">
        <f>IF($E36="","",$E36*(1-$F36))</f>
        <v/>
      </c>
      <c r="H36" s="184" t="n">
        <v>3430000</v>
      </c>
      <c r="I36" s="184" t="n">
        <v>3190000</v>
      </c>
      <c r="J36" s="69">
        <f>IFERROR(($H36-$G36)/$H36,"")</f>
        <v/>
      </c>
      <c r="K36" s="69">
        <f>IFERROR(($I36-$G36)/$I36,"")</f>
        <v/>
      </c>
    </row>
    <row r="37" ht="15" customHeight="1" s="47">
      <c r="A37" s="182" t="inlineStr">
        <is>
          <t>EL-033</t>
        </is>
      </c>
      <c r="B37" s="182" t="inlineStr">
        <is>
          <t>Enfriador de bebidas 300 L</t>
        </is>
      </c>
      <c r="C37" s="182" t="inlineStr">
        <is>
          <t>Refrigeración</t>
        </is>
      </c>
      <c r="D37" s="182" t="inlineStr">
        <is>
          <t>Marca F</t>
        </is>
      </c>
      <c r="E37" s="184" t="n">
        <v>1980000</v>
      </c>
      <c r="F37" s="185" t="n">
        <v>0.06</v>
      </c>
      <c r="G37" s="68">
        <f>IF($E37="","",$E37*(1-$F37))</f>
        <v/>
      </c>
      <c r="H37" s="184" t="n">
        <v>2390000</v>
      </c>
      <c r="I37" s="184" t="n">
        <v>2220000</v>
      </c>
      <c r="J37" s="69">
        <f>IFERROR(($H37-$G37)/$H37,"")</f>
        <v/>
      </c>
      <c r="K37" s="69">
        <f>IFERROR(($I37-$G37)/$I37,"")</f>
        <v/>
      </c>
    </row>
    <row r="38" ht="15" customHeight="1" s="47">
      <c r="A38" s="182" t="inlineStr">
        <is>
          <t>EL-034</t>
        </is>
      </c>
      <c r="B38" s="182" t="inlineStr">
        <is>
          <t>Centro de lavado 16 kg</t>
        </is>
      </c>
      <c r="C38" s="182" t="inlineStr">
        <is>
          <t>Lavado</t>
        </is>
      </c>
      <c r="D38" s="182" t="inlineStr">
        <is>
          <t>Marca D</t>
        </is>
      </c>
      <c r="E38" s="184" t="n">
        <v>2380000</v>
      </c>
      <c r="F38" s="185" t="n">
        <v>0.11</v>
      </c>
      <c r="G38" s="68">
        <f>IF($E38="","",$E38*(1-$F38))</f>
        <v/>
      </c>
      <c r="H38" s="184" t="n">
        <v>2680000</v>
      </c>
      <c r="I38" s="184" t="n">
        <v>2490000</v>
      </c>
      <c r="J38" s="69">
        <f>IFERROR(($H38-$G38)/$H38,"")</f>
        <v/>
      </c>
      <c r="K38" s="69">
        <f>IFERROR(($I38-$G38)/$I38,"")</f>
        <v/>
      </c>
    </row>
    <row r="39" ht="15" customHeight="1" s="47">
      <c r="A39" s="182" t="inlineStr">
        <is>
          <t>EL-035</t>
        </is>
      </c>
      <c r="B39" s="182" t="inlineStr">
        <is>
          <t>Secadora a gas 20 kg</t>
        </is>
      </c>
      <c r="C39" s="182" t="inlineStr">
        <is>
          <t>Lavado</t>
        </is>
      </c>
      <c r="D39" s="182" t="inlineStr">
        <is>
          <t>Marca A</t>
        </is>
      </c>
      <c r="E39" s="184" t="n">
        <v>1890000</v>
      </c>
      <c r="F39" s="185" t="n">
        <v>0.1</v>
      </c>
      <c r="G39" s="68">
        <f>IF($E39="","",$E39*(1-$F39))</f>
        <v/>
      </c>
      <c r="H39" s="184" t="n">
        <v>2150000</v>
      </c>
      <c r="I39" s="184" t="n">
        <v>2000000</v>
      </c>
      <c r="J39" s="69">
        <f>IFERROR(($H39-$G39)/$H39,"")</f>
        <v/>
      </c>
      <c r="K39" s="69">
        <f>IFERROR(($I39-$G39)/$I39,"")</f>
        <v/>
      </c>
    </row>
    <row r="40" ht="15" customHeight="1" s="47">
      <c r="A40" s="182" t="inlineStr">
        <is>
          <t>EL-036</t>
        </is>
      </c>
      <c r="B40" s="182" t="inlineStr">
        <is>
          <t>Lavadora doble tina 10 kg</t>
        </is>
      </c>
      <c r="C40" s="182" t="inlineStr">
        <is>
          <t>Lavado</t>
        </is>
      </c>
      <c r="D40" s="182" t="inlineStr">
        <is>
          <t>Marca F</t>
        </is>
      </c>
      <c r="E40" s="184" t="n">
        <v>520000</v>
      </c>
      <c r="F40" s="185" t="n">
        <v>0.04</v>
      </c>
      <c r="G40" s="68">
        <f>IF($E40="","",$E40*(1-$F40))</f>
        <v/>
      </c>
      <c r="H40" s="184" t="n">
        <v>630000</v>
      </c>
      <c r="I40" s="184" t="n">
        <v>590000</v>
      </c>
      <c r="J40" s="69">
        <f>IFERROR(($H40-$G40)/$H40,"")</f>
        <v/>
      </c>
      <c r="K40" s="69">
        <f>IFERROR(($I40-$G40)/$I40,"")</f>
        <v/>
      </c>
    </row>
    <row r="41" ht="15" customHeight="1" s="47">
      <c r="A41" s="182" t="inlineStr">
        <is>
          <t>EL-037</t>
        </is>
      </c>
      <c r="B41" s="182" t="inlineStr">
        <is>
          <t>Horno eléctrico empotrable</t>
        </is>
      </c>
      <c r="C41" s="182" t="inlineStr">
        <is>
          <t>Cocina</t>
        </is>
      </c>
      <c r="D41" s="182" t="inlineStr">
        <is>
          <t>Marca D</t>
        </is>
      </c>
      <c r="E41" s="184" t="n">
        <v>980000</v>
      </c>
      <c r="F41" s="185" t="n">
        <v>0.1</v>
      </c>
      <c r="G41" s="68">
        <f>IF($E41="","",$E41*(1-$F41))</f>
        <v/>
      </c>
      <c r="H41" s="184" t="n">
        <v>1190000</v>
      </c>
      <c r="I41" s="184" t="n">
        <v>1110000</v>
      </c>
      <c r="J41" s="69">
        <f>IFERROR(($H41-$G41)/$H41,"")</f>
        <v/>
      </c>
      <c r="K41" s="69">
        <f>IFERROR(($I41-$G41)/$I41,"")</f>
        <v/>
      </c>
    </row>
    <row r="42" ht="15" customHeight="1" s="47">
      <c r="A42" s="182" t="inlineStr">
        <is>
          <t>EL-038</t>
        </is>
      </c>
      <c r="B42" s="182" t="inlineStr">
        <is>
          <t>Estufa a gas 2 puestos</t>
        </is>
      </c>
      <c r="C42" s="182" t="inlineStr">
        <is>
          <t>Cocina</t>
        </is>
      </c>
      <c r="D42" s="182" t="inlineStr">
        <is>
          <t>Marca F</t>
        </is>
      </c>
      <c r="E42" s="184" t="n">
        <v>180000</v>
      </c>
      <c r="F42" s="185" t="n">
        <v>0.04</v>
      </c>
      <c r="G42" s="68">
        <f>IF($E42="","",$E42*(1-$F42))</f>
        <v/>
      </c>
      <c r="H42" s="184" t="n">
        <v>234000</v>
      </c>
      <c r="I42" s="184" t="n">
        <v>218000</v>
      </c>
      <c r="J42" s="69">
        <f>IFERROR(($H42-$G42)/$H42,"")</f>
        <v/>
      </c>
      <c r="K42" s="69">
        <f>IFERROR(($I42-$G42)/$I42,"")</f>
        <v/>
      </c>
    </row>
    <row r="43" ht="15" customHeight="1" s="47">
      <c r="A43" s="182" t="inlineStr">
        <is>
          <t>EL-039</t>
        </is>
      </c>
      <c r="B43" s="182" t="inlineStr">
        <is>
          <t>Horno microondas 30 L</t>
        </is>
      </c>
      <c r="C43" s="182" t="inlineStr">
        <is>
          <t>Cocina</t>
        </is>
      </c>
      <c r="D43" s="182" t="inlineStr">
        <is>
          <t>Marca D</t>
        </is>
      </c>
      <c r="E43" s="184" t="n">
        <v>390000</v>
      </c>
      <c r="F43" s="185" t="n">
        <v>0.1</v>
      </c>
      <c r="G43" s="68">
        <f>IF($E43="","",$E43*(1-$F43))</f>
        <v/>
      </c>
      <c r="H43" s="184" t="n">
        <v>474000</v>
      </c>
      <c r="I43" s="184" t="n">
        <v>441000</v>
      </c>
      <c r="J43" s="69">
        <f>IFERROR(($H43-$G43)/$H43,"")</f>
        <v/>
      </c>
      <c r="K43" s="69">
        <f>IFERROR(($I43-$G43)/$I43,"")</f>
        <v/>
      </c>
    </row>
    <row r="44" ht="15" customHeight="1" s="47">
      <c r="A44" s="182" t="inlineStr">
        <is>
          <t>EL-040</t>
        </is>
      </c>
      <c r="B44" s="182" t="inlineStr">
        <is>
          <t>Freidora industrial 8 L</t>
        </is>
      </c>
      <c r="C44" s="182" t="inlineStr">
        <is>
          <t>Cocina</t>
        </is>
      </c>
      <c r="D44" s="182" t="inlineStr">
        <is>
          <t>Marca F</t>
        </is>
      </c>
      <c r="E44" s="184" t="n">
        <v>480000</v>
      </c>
      <c r="F44" s="185" t="n">
        <v>0.05</v>
      </c>
      <c r="G44" s="68">
        <f>IF($E44="","",$E44*(1-$F44))</f>
        <v/>
      </c>
      <c r="H44" s="184" t="n">
        <v>620000</v>
      </c>
      <c r="I44" s="184" t="n">
        <v>580000</v>
      </c>
      <c r="J44" s="69">
        <f>IFERROR(($H44-$G44)/$H44,"")</f>
        <v/>
      </c>
      <c r="K44" s="69">
        <f>IFERROR(($I44-$G44)/$I44,"")</f>
        <v/>
      </c>
    </row>
    <row r="45" ht="15" customHeight="1" s="47">
      <c r="A45" s="182" t="inlineStr">
        <is>
          <t>EL-041</t>
        </is>
      </c>
      <c r="B45" s="182" t="inlineStr">
        <is>
          <t>Aire acondicionado 24.000 BTU</t>
        </is>
      </c>
      <c r="C45" s="182" t="inlineStr">
        <is>
          <t>Climatización</t>
        </is>
      </c>
      <c r="D45" s="182" t="inlineStr">
        <is>
          <t>Marca B</t>
        </is>
      </c>
      <c r="E45" s="184" t="n">
        <v>2240000</v>
      </c>
      <c r="F45" s="185" t="n">
        <v>0.13</v>
      </c>
      <c r="G45" s="68">
        <f>IF($E45="","",$E45*(1-$F45))</f>
        <v/>
      </c>
      <c r="H45" s="184" t="n">
        <v>2560000</v>
      </c>
      <c r="I45" s="184" t="n">
        <v>2380000</v>
      </c>
      <c r="J45" s="69">
        <f>IFERROR(($H45-$G45)/$H45,"")</f>
        <v/>
      </c>
      <c r="K45" s="69">
        <f>IFERROR(($I45-$G45)/$I45,"")</f>
        <v/>
      </c>
    </row>
    <row r="46" ht="15" customHeight="1" s="47">
      <c r="A46" s="182" t="inlineStr">
        <is>
          <t>EL-042</t>
        </is>
      </c>
      <c r="B46" s="182" t="inlineStr">
        <is>
          <t>Deshumidificador 20 L</t>
        </is>
      </c>
      <c r="C46" s="182" t="inlineStr">
        <is>
          <t>Climatización</t>
        </is>
      </c>
      <c r="D46" s="182" t="inlineStr">
        <is>
          <t>Marca F</t>
        </is>
      </c>
      <c r="E46" s="184" t="n">
        <v>590000</v>
      </c>
      <c r="F46" s="185" t="n">
        <v>0.06</v>
      </c>
      <c r="G46" s="68">
        <f>IF($E46="","",$E46*(1-$F46))</f>
        <v/>
      </c>
      <c r="H46" s="184" t="n">
        <v>730000</v>
      </c>
      <c r="I46" s="184" t="n">
        <v>680000</v>
      </c>
      <c r="J46" s="69">
        <f>IFERROR(($H46-$G46)/$H46,"")</f>
        <v/>
      </c>
      <c r="K46" s="69">
        <f>IFERROR(($I46-$G46)/$I46,"")</f>
        <v/>
      </c>
    </row>
    <row r="47" ht="15" customHeight="1" s="47">
      <c r="A47" s="182" t="inlineStr">
        <is>
          <t>EL-043</t>
        </is>
      </c>
      <c r="B47" s="182" t="inlineStr">
        <is>
          <t>Calentador acumulación 20 gal</t>
        </is>
      </c>
      <c r="C47" s="182" t="inlineStr">
        <is>
          <t>Climatización</t>
        </is>
      </c>
      <c r="D47" s="182" t="inlineStr">
        <is>
          <t>Marca E</t>
        </is>
      </c>
      <c r="E47" s="184" t="n">
        <v>890000</v>
      </c>
      <c r="F47" s="185" t="n">
        <v>0.06</v>
      </c>
      <c r="G47" s="68">
        <f>IF($E47="","",$E47*(1-$F47))</f>
        <v/>
      </c>
      <c r="H47" s="184" t="n">
        <v>1100000</v>
      </c>
      <c r="I47" s="184" t="n">
        <v>1020000</v>
      </c>
      <c r="J47" s="69">
        <f>IFERROR(($H47-$G47)/$H47,"")</f>
        <v/>
      </c>
      <c r="K47" s="69">
        <f>IFERROR(($I47-$G47)/$I47,"")</f>
        <v/>
      </c>
    </row>
    <row r="48" ht="15" customHeight="1" s="47">
      <c r="A48" s="182" t="inlineStr">
        <is>
          <t>EL-044</t>
        </is>
      </c>
      <c r="B48" s="182" t="inlineStr">
        <is>
          <t>Ventilador de techo 52"</t>
        </is>
      </c>
      <c r="C48" s="182" t="inlineStr">
        <is>
          <t>Climatización</t>
        </is>
      </c>
      <c r="D48" s="182" t="inlineStr">
        <is>
          <t>Marca F</t>
        </is>
      </c>
      <c r="E48" s="184" t="n">
        <v>210000</v>
      </c>
      <c r="F48" s="185" t="n">
        <v>0.05</v>
      </c>
      <c r="G48" s="68">
        <f>IF($E48="","",$E48*(1-$F48))</f>
        <v/>
      </c>
      <c r="H48" s="184" t="n">
        <v>262000</v>
      </c>
      <c r="I48" s="184" t="n">
        <v>244000</v>
      </c>
      <c r="J48" s="69">
        <f>IFERROR(($H48-$G48)/$H48,"")</f>
        <v/>
      </c>
      <c r="K48" s="69">
        <f>IFERROR(($I48-$G48)/$I48,"")</f>
        <v/>
      </c>
    </row>
    <row r="49" ht="15" customHeight="1" s="47">
      <c r="A49" s="182" t="inlineStr">
        <is>
          <t>EL-045</t>
        </is>
      </c>
      <c r="B49" s="182" t="inlineStr">
        <is>
          <t>Televisor LED 75" 4K</t>
        </is>
      </c>
      <c r="C49" s="182" t="inlineStr">
        <is>
          <t>Audio y video</t>
        </is>
      </c>
      <c r="D49" s="182" t="inlineStr">
        <is>
          <t>Marca B</t>
        </is>
      </c>
      <c r="E49" s="184" t="n">
        <v>3980000</v>
      </c>
      <c r="F49" s="185" t="n">
        <v>0.15</v>
      </c>
      <c r="G49" s="68">
        <f>IF($E49="","",$E49*(1-$F49))</f>
        <v/>
      </c>
      <c r="H49" s="184" t="n">
        <v>3980000</v>
      </c>
      <c r="I49" s="184" t="n">
        <v>3700000</v>
      </c>
      <c r="J49" s="69">
        <f>IFERROR(($H49-$G49)/$H49,"")</f>
        <v/>
      </c>
      <c r="K49" s="69">
        <f>IFERROR(($I49-$G49)/$I49,"")</f>
        <v/>
      </c>
    </row>
    <row r="50" ht="15" customHeight="1" s="47">
      <c r="A50" s="182" t="inlineStr">
        <is>
          <t>EL-046</t>
        </is>
      </c>
      <c r="B50" s="182" t="inlineStr">
        <is>
          <t>Televisor LED 32" HD</t>
        </is>
      </c>
      <c r="C50" s="182" t="inlineStr">
        <is>
          <t>Audio y video</t>
        </is>
      </c>
      <c r="D50" s="182" t="inlineStr">
        <is>
          <t>Marca F</t>
        </is>
      </c>
      <c r="E50" s="184" t="n">
        <v>480000</v>
      </c>
      <c r="F50" s="185" t="n">
        <v>0.14</v>
      </c>
      <c r="G50" s="68">
        <f>IF($E50="","",$E50*(1-$F50))</f>
        <v/>
      </c>
      <c r="H50" s="184" t="n">
        <v>490000</v>
      </c>
      <c r="I50" s="184" t="n">
        <v>460000</v>
      </c>
      <c r="J50" s="69">
        <f>IFERROR(($H50-$G50)/$H50,"")</f>
        <v/>
      </c>
      <c r="K50" s="69">
        <f>IFERROR(($I50-$G50)/$I50,"")</f>
        <v/>
      </c>
    </row>
    <row r="51" ht="15" customHeight="1" s="47">
      <c r="A51" s="182" t="inlineStr">
        <is>
          <t>EL-047</t>
        </is>
      </c>
      <c r="B51" s="182" t="inlineStr">
        <is>
          <t>Teatro en casa 5.1</t>
        </is>
      </c>
      <c r="C51" s="182" t="inlineStr">
        <is>
          <t>Audio y video</t>
        </is>
      </c>
      <c r="D51" s="182" t="inlineStr">
        <is>
          <t>Marca D</t>
        </is>
      </c>
      <c r="E51" s="184" t="n">
        <v>740000</v>
      </c>
      <c r="F51" s="185" t="n">
        <v>0.12</v>
      </c>
      <c r="G51" s="68">
        <f>IF($E51="","",$E51*(1-$F51))</f>
        <v/>
      </c>
      <c r="H51" s="184" t="n">
        <v>770000</v>
      </c>
      <c r="I51" s="184" t="n">
        <v>720000</v>
      </c>
      <c r="J51" s="69">
        <f>IFERROR(($H51-$G51)/$H51,"")</f>
        <v/>
      </c>
      <c r="K51" s="69">
        <f>IFERROR(($I51-$G51)/$I51,"")</f>
        <v/>
      </c>
    </row>
    <row r="52" ht="15" customHeight="1" s="47">
      <c r="A52" s="182" t="inlineStr">
        <is>
          <t>EL-048</t>
        </is>
      </c>
      <c r="B52" s="182" t="inlineStr">
        <is>
          <t>Batidora de pedestal</t>
        </is>
      </c>
      <c r="C52" s="182" t="inlineStr">
        <is>
          <t>Pequeños electro</t>
        </is>
      </c>
      <c r="D52" s="182" t="inlineStr">
        <is>
          <t>Marca C</t>
        </is>
      </c>
      <c r="E52" s="184" t="n">
        <v>245000</v>
      </c>
      <c r="F52" s="185" t="n">
        <v>0.08</v>
      </c>
      <c r="G52" s="68">
        <f>IF($E52="","",$E52*(1-$F52))</f>
        <v/>
      </c>
      <c r="H52" s="184" t="n">
        <v>336000</v>
      </c>
      <c r="I52" s="184" t="n">
        <v>312000</v>
      </c>
      <c r="J52" s="69">
        <f>IFERROR(($H52-$G52)/$H52,"")</f>
        <v/>
      </c>
      <c r="K52" s="69">
        <f>IFERROR(($I52-$G52)/$I52,"")</f>
        <v/>
      </c>
    </row>
    <row r="53" ht="15" customHeight="1" s="47">
      <c r="A53" s="182" t="inlineStr">
        <is>
          <t>EL-049</t>
        </is>
      </c>
      <c r="B53" s="182" t="inlineStr">
        <is>
          <t>Cafetera de goteo 12 tazas</t>
        </is>
      </c>
      <c r="C53" s="182" t="inlineStr">
        <is>
          <t>Pequeños electro</t>
        </is>
      </c>
      <c r="D53" s="182" t="inlineStr">
        <is>
          <t>Marca E</t>
        </is>
      </c>
      <c r="E53" s="184" t="n">
        <v>118000</v>
      </c>
      <c r="F53" s="185" t="n">
        <v>0.05</v>
      </c>
      <c r="G53" s="68">
        <f>IF($E53="","",$E53*(1-$F53))</f>
        <v/>
      </c>
      <c r="H53" s="184" t="n">
        <v>167000</v>
      </c>
      <c r="I53" s="184" t="n">
        <v>155000</v>
      </c>
      <c r="J53" s="69">
        <f>IFERROR(($H53-$G53)/$H53,"")</f>
        <v/>
      </c>
      <c r="K53" s="69">
        <f>IFERROR(($I53-$G53)/$I53,"")</f>
        <v/>
      </c>
    </row>
    <row r="54" ht="15" customHeight="1" s="47">
      <c r="A54" s="182" t="inlineStr">
        <is>
          <t>EL-050</t>
        </is>
      </c>
      <c r="B54" s="182" t="inlineStr">
        <is>
          <t>Extractor de jugos</t>
        </is>
      </c>
      <c r="C54" s="182" t="inlineStr">
        <is>
          <t>Pequeños electro</t>
        </is>
      </c>
      <c r="D54" s="182" t="inlineStr">
        <is>
          <t>Marca C</t>
        </is>
      </c>
      <c r="E54" s="184" t="n">
        <v>168000</v>
      </c>
      <c r="F54" s="185" t="n">
        <v>0.08</v>
      </c>
      <c r="G54" s="68">
        <f>IF($E54="","",$E54*(1-$F54))</f>
        <v/>
      </c>
      <c r="H54" s="184" t="n">
        <v>231000</v>
      </c>
      <c r="I54" s="184" t="n">
        <v>215000</v>
      </c>
      <c r="J54" s="69">
        <f>IFERROR(($H54-$G54)/$H54,"")</f>
        <v/>
      </c>
      <c r="K54" s="69">
        <f>IFERROR(($I54-$G54)/$I54,"")</f>
        <v/>
      </c>
    </row>
    <row r="55" ht="15" customHeight="1" s="47">
      <c r="A55" s="64" t="n"/>
      <c r="B55" s="64" t="n"/>
      <c r="C55" s="64" t="n"/>
      <c r="D55" s="64" t="n"/>
      <c r="E55" s="66" t="n"/>
      <c r="F55" s="67" t="n"/>
      <c r="G55" s="68">
        <f>IF($E55="","",$E55*(1-$F55))</f>
        <v/>
      </c>
      <c r="H55" s="66" t="n"/>
      <c r="I55" s="66" t="n"/>
      <c r="J55" s="69">
        <f>IFERROR(($H55-$G55)/$H55,"")</f>
        <v/>
      </c>
      <c r="K55" s="69">
        <f>IFERROR(($I55-$G55)/$I55,"")</f>
        <v/>
      </c>
    </row>
    <row r="56" ht="15" customHeight="1" s="47">
      <c r="A56" s="64" t="n"/>
      <c r="B56" s="64" t="n"/>
      <c r="C56" s="64" t="n"/>
      <c r="D56" s="64" t="n"/>
      <c r="E56" s="66" t="n"/>
      <c r="F56" s="67" t="n"/>
      <c r="G56" s="68">
        <f>IF($E56="","",$E56*(1-$F56))</f>
        <v/>
      </c>
      <c r="H56" s="66" t="n"/>
      <c r="I56" s="66" t="n"/>
      <c r="J56" s="69">
        <f>IFERROR(($H56-$G56)/$H56,"")</f>
        <v/>
      </c>
      <c r="K56" s="69">
        <f>IFERROR(($I56-$G56)/$I56,"")</f>
        <v/>
      </c>
    </row>
    <row r="57" ht="15" customHeight="1" s="47">
      <c r="A57" s="64" t="n"/>
      <c r="B57" s="64" t="n"/>
      <c r="C57" s="64" t="n"/>
      <c r="D57" s="64" t="n"/>
      <c r="E57" s="66" t="n"/>
      <c r="F57" s="67" t="n"/>
      <c r="G57" s="68">
        <f>IF($E57="","",$E57*(1-$F57))</f>
        <v/>
      </c>
      <c r="H57" s="66" t="n"/>
      <c r="I57" s="66" t="n"/>
      <c r="J57" s="69">
        <f>IFERROR(($H57-$G57)/$H57,"")</f>
        <v/>
      </c>
      <c r="K57" s="69">
        <f>IFERROR(($I57-$G57)/$I57,"")</f>
        <v/>
      </c>
    </row>
    <row r="58" ht="15" customHeight="1" s="47">
      <c r="A58" s="64" t="n"/>
      <c r="B58" s="64" t="n"/>
      <c r="C58" s="64" t="n"/>
      <c r="D58" s="64" t="n"/>
      <c r="E58" s="66" t="n"/>
      <c r="F58" s="67" t="n"/>
      <c r="G58" s="68">
        <f>IF($E58="","",$E58*(1-$F58))</f>
        <v/>
      </c>
      <c r="H58" s="66" t="n"/>
      <c r="I58" s="66" t="n"/>
      <c r="J58" s="69">
        <f>IFERROR(($H58-$G58)/$H58,"")</f>
        <v/>
      </c>
      <c r="K58" s="69">
        <f>IFERROR(($I58-$G58)/$I58,"")</f>
        <v/>
      </c>
    </row>
    <row r="59" ht="15" customHeight="1" s="47">
      <c r="A59" s="64" t="n"/>
      <c r="B59" s="64" t="n"/>
      <c r="C59" s="64" t="n"/>
      <c r="D59" s="64" t="n"/>
      <c r="E59" s="66" t="n"/>
      <c r="F59" s="67" t="n"/>
      <c r="G59" s="68">
        <f>IF($E59="","",$E59*(1-$F59))</f>
        <v/>
      </c>
      <c r="H59" s="66" t="n"/>
      <c r="I59" s="66" t="n"/>
      <c r="J59" s="69">
        <f>IFERROR(($H59-$G59)/$H59,"")</f>
        <v/>
      </c>
      <c r="K59" s="69">
        <f>IFERROR(($I59-$G59)/$I59,"")</f>
        <v/>
      </c>
    </row>
    <row r="60" ht="15" customHeight="1" s="47">
      <c r="A60" s="64" t="n"/>
      <c r="B60" s="64" t="n"/>
      <c r="C60" s="64" t="n"/>
      <c r="D60" s="64" t="n"/>
      <c r="E60" s="66" t="n"/>
      <c r="F60" s="67" t="n"/>
      <c r="G60" s="68">
        <f>IF($E60="","",$E60*(1-$F60))</f>
        <v/>
      </c>
      <c r="H60" s="66" t="n"/>
      <c r="I60" s="66" t="n"/>
      <c r="J60" s="69">
        <f>IFERROR(($H60-$G60)/$H60,"")</f>
        <v/>
      </c>
      <c r="K60" s="69">
        <f>IFERROR(($I60-$G60)/$I60,"")</f>
        <v/>
      </c>
    </row>
    <row r="61" ht="15" customHeight="1" s="47">
      <c r="A61" s="64" t="n"/>
      <c r="B61" s="64" t="n"/>
      <c r="C61" s="64" t="n"/>
      <c r="D61" s="64" t="n"/>
      <c r="E61" s="66" t="n"/>
      <c r="F61" s="67" t="n"/>
      <c r="G61" s="68">
        <f>IF($E61="","",$E61*(1-$F61))</f>
        <v/>
      </c>
      <c r="H61" s="66" t="n"/>
      <c r="I61" s="66" t="n"/>
      <c r="J61" s="69">
        <f>IFERROR(($H61-$G61)/$H61,"")</f>
        <v/>
      </c>
      <c r="K61" s="69">
        <f>IFERROR(($I61-$G61)/$I61,"")</f>
        <v/>
      </c>
    </row>
    <row r="62" ht="15" customHeight="1" s="47">
      <c r="A62" s="64" t="n"/>
      <c r="B62" s="64" t="n"/>
      <c r="C62" s="64" t="n"/>
      <c r="D62" s="64" t="n"/>
      <c r="E62" s="66" t="n"/>
      <c r="F62" s="67" t="n"/>
      <c r="G62" s="68">
        <f>IF($E62="","",$E62*(1-$F62))</f>
        <v/>
      </c>
      <c r="H62" s="66" t="n"/>
      <c r="I62" s="66" t="n"/>
      <c r="J62" s="69">
        <f>IFERROR(($H62-$G62)/$H62,"")</f>
        <v/>
      </c>
      <c r="K62" s="69">
        <f>IFERROR(($I62-$G62)/$I62,"")</f>
        <v/>
      </c>
    </row>
    <row r="63" ht="15" customHeight="1" s="47">
      <c r="A63" s="64" t="n"/>
      <c r="B63" s="64" t="n"/>
      <c r="C63" s="64" t="n"/>
      <c r="D63" s="64" t="n"/>
      <c r="E63" s="66" t="n"/>
      <c r="F63" s="67" t="n"/>
      <c r="G63" s="68">
        <f>IF($E63="","",$E63*(1-$F63))</f>
        <v/>
      </c>
      <c r="H63" s="66" t="n"/>
      <c r="I63" s="66" t="n"/>
      <c r="J63" s="69">
        <f>IFERROR(($H63-$G63)/$H63,"")</f>
        <v/>
      </c>
      <c r="K63" s="69">
        <f>IFERROR(($I63-$G63)/$I63,"")</f>
        <v/>
      </c>
    </row>
    <row r="64" ht="15" customHeight="1" s="47">
      <c r="A64" s="64" t="n"/>
      <c r="B64" s="64" t="n"/>
      <c r="C64" s="64" t="n"/>
      <c r="D64" s="64" t="n"/>
      <c r="E64" s="66" t="n"/>
      <c r="F64" s="67" t="n"/>
      <c r="G64" s="68">
        <f>IF($E64="","",$E64*(1-$F64))</f>
        <v/>
      </c>
      <c r="H64" s="66" t="n"/>
      <c r="I64" s="66" t="n"/>
      <c r="J64" s="69">
        <f>IFERROR(($H64-$G64)/$H64,"")</f>
        <v/>
      </c>
      <c r="K64" s="69">
        <f>IFERROR(($I64-$G64)/$I64,"")</f>
        <v/>
      </c>
    </row>
    <row r="65" ht="15" customHeight="1" s="47">
      <c r="A65" s="64" t="n"/>
      <c r="B65" s="64" t="n"/>
      <c r="C65" s="64" t="n"/>
      <c r="D65" s="64" t="n"/>
      <c r="E65" s="66" t="n"/>
      <c r="F65" s="67" t="n"/>
      <c r="G65" s="68">
        <f>IF($E65="","",$E65*(1-$F65))</f>
        <v/>
      </c>
      <c r="H65" s="66" t="n"/>
      <c r="I65" s="66" t="n"/>
      <c r="J65" s="69">
        <f>IFERROR(($H65-$G65)/$H65,"")</f>
        <v/>
      </c>
      <c r="K65" s="69">
        <f>IFERROR(($I65-$G65)/$I65,"")</f>
        <v/>
      </c>
    </row>
    <row r="66" ht="15" customHeight="1" s="47">
      <c r="A66" s="64" t="n"/>
      <c r="B66" s="64" t="n"/>
      <c r="C66" s="64" t="n"/>
      <c r="D66" s="64" t="n"/>
      <c r="E66" s="66" t="n"/>
      <c r="F66" s="67" t="n"/>
      <c r="G66" s="68">
        <f>IF($E66="","",$E66*(1-$F66))</f>
        <v/>
      </c>
      <c r="H66" s="66" t="n"/>
      <c r="I66" s="66" t="n"/>
      <c r="J66" s="69">
        <f>IFERROR(($H66-$G66)/$H66,"")</f>
        <v/>
      </c>
      <c r="K66" s="69">
        <f>IFERROR(($I66-$G66)/$I66,"")</f>
        <v/>
      </c>
    </row>
    <row r="67" ht="15" customHeight="1" s="47">
      <c r="A67" s="64" t="n"/>
      <c r="B67" s="64" t="n"/>
      <c r="C67" s="64" t="n"/>
      <c r="D67" s="64" t="n"/>
      <c r="E67" s="66" t="n"/>
      <c r="F67" s="67" t="n"/>
      <c r="G67" s="68">
        <f>IF($E67="","",$E67*(1-$F67))</f>
        <v/>
      </c>
      <c r="H67" s="66" t="n"/>
      <c r="I67" s="66" t="n"/>
      <c r="J67" s="69">
        <f>IFERROR(($H67-$G67)/$H67,"")</f>
        <v/>
      </c>
      <c r="K67" s="69">
        <f>IFERROR(($I67-$G67)/$I67,"")</f>
        <v/>
      </c>
    </row>
    <row r="68" ht="15" customHeight="1" s="47">
      <c r="A68" s="64" t="n"/>
      <c r="B68" s="64" t="n"/>
      <c r="C68" s="64" t="n"/>
      <c r="D68" s="64" t="n"/>
      <c r="E68" s="66" t="n"/>
      <c r="F68" s="67" t="n"/>
      <c r="G68" s="68">
        <f>IF($E68="","",$E68*(1-$F68))</f>
        <v/>
      </c>
      <c r="H68" s="66" t="n"/>
      <c r="I68" s="66" t="n"/>
      <c r="J68" s="69">
        <f>IFERROR(($H68-$G68)/$H68,"")</f>
        <v/>
      </c>
      <c r="K68" s="69">
        <f>IFERROR(($I68-$G68)/$I68,"")</f>
        <v/>
      </c>
    </row>
    <row r="69" ht="15" customHeight="1" s="47">
      <c r="A69" s="64" t="n"/>
      <c r="B69" s="64" t="n"/>
      <c r="C69" s="64" t="n"/>
      <c r="D69" s="64" t="n"/>
      <c r="E69" s="66" t="n"/>
      <c r="F69" s="67" t="n"/>
      <c r="G69" s="68">
        <f>IF($E69="","",$E69*(1-$F69))</f>
        <v/>
      </c>
      <c r="H69" s="66" t="n"/>
      <c r="I69" s="66" t="n"/>
      <c r="J69" s="69">
        <f>IFERROR(($H69-$G69)/$H69,"")</f>
        <v/>
      </c>
      <c r="K69" s="69">
        <f>IFERROR(($I69-$G69)/$I69,"")</f>
        <v/>
      </c>
    </row>
    <row r="70" ht="15" customHeight="1" s="47">
      <c r="A70" s="64" t="n"/>
      <c r="B70" s="64" t="n"/>
      <c r="C70" s="64" t="n"/>
      <c r="D70" s="64" t="n"/>
      <c r="E70" s="66" t="n"/>
      <c r="F70" s="67" t="n"/>
      <c r="G70" s="68">
        <f>IF($E70="","",$E70*(1-$F70))</f>
        <v/>
      </c>
      <c r="H70" s="66" t="n"/>
      <c r="I70" s="66" t="n"/>
      <c r="J70" s="69">
        <f>IFERROR(($H70-$G70)/$H70,"")</f>
        <v/>
      </c>
      <c r="K70" s="69">
        <f>IFERROR(($I70-$G70)/$I70,"")</f>
        <v/>
      </c>
    </row>
    <row r="71" ht="15" customHeight="1" s="47">
      <c r="A71" s="64" t="n"/>
      <c r="B71" s="64" t="n"/>
      <c r="C71" s="64" t="n"/>
      <c r="D71" s="64" t="n"/>
      <c r="E71" s="66" t="n"/>
      <c r="F71" s="67" t="n"/>
      <c r="G71" s="68">
        <f>IF($E71="","",$E71*(1-$F71))</f>
        <v/>
      </c>
      <c r="H71" s="66" t="n"/>
      <c r="I71" s="66" t="n"/>
      <c r="J71" s="69">
        <f>IFERROR(($H71-$G71)/$H71,"")</f>
        <v/>
      </c>
      <c r="K71" s="69">
        <f>IFERROR(($I71-$G71)/$I71,"")</f>
        <v/>
      </c>
    </row>
    <row r="72" ht="15" customHeight="1" s="47">
      <c r="A72" s="64" t="n"/>
      <c r="B72" s="64" t="n"/>
      <c r="C72" s="64" t="n"/>
      <c r="D72" s="64" t="n"/>
      <c r="E72" s="66" t="n"/>
      <c r="F72" s="67" t="n"/>
      <c r="G72" s="68">
        <f>IF($E72="","",$E72*(1-$F72))</f>
        <v/>
      </c>
      <c r="H72" s="66" t="n"/>
      <c r="I72" s="66" t="n"/>
      <c r="J72" s="69">
        <f>IFERROR(($H72-$G72)/$H72,"")</f>
        <v/>
      </c>
      <c r="K72" s="69">
        <f>IFERROR(($I72-$G72)/$I72,"")</f>
        <v/>
      </c>
    </row>
    <row r="73" ht="15" customHeight="1" s="47">
      <c r="A73" s="64" t="n"/>
      <c r="B73" s="64" t="n"/>
      <c r="C73" s="64" t="n"/>
      <c r="D73" s="64" t="n"/>
      <c r="E73" s="66" t="n"/>
      <c r="F73" s="67" t="n"/>
      <c r="G73" s="68">
        <f>IF($E73="","",$E73*(1-$F73))</f>
        <v/>
      </c>
      <c r="H73" s="66" t="n"/>
      <c r="I73" s="66" t="n"/>
      <c r="J73" s="69">
        <f>IFERROR(($H73-$G73)/$H73,"")</f>
        <v/>
      </c>
      <c r="K73" s="69">
        <f>IFERROR(($I73-$G73)/$I73,"")</f>
        <v/>
      </c>
    </row>
    <row r="74" ht="15" customHeight="1" s="47">
      <c r="A74" s="64" t="n"/>
      <c r="B74" s="64" t="n"/>
      <c r="C74" s="64" t="n"/>
      <c r="D74" s="64" t="n"/>
      <c r="E74" s="66" t="n"/>
      <c r="F74" s="67" t="n"/>
      <c r="G74" s="68">
        <f>IF($E74="","",$E74*(1-$F74))</f>
        <v/>
      </c>
      <c r="H74" s="66" t="n"/>
      <c r="I74" s="66" t="n"/>
      <c r="J74" s="69">
        <f>IFERROR(($H74-$G74)/$H74,"")</f>
        <v/>
      </c>
      <c r="K74" s="69">
        <f>IFERROR(($I74-$G74)/$I74,"")</f>
        <v/>
      </c>
    </row>
    <row r="75" ht="15" customHeight="1" s="47">
      <c r="A75" s="64" t="n"/>
      <c r="B75" s="64" t="n"/>
      <c r="C75" s="64" t="n"/>
      <c r="D75" s="64" t="n"/>
      <c r="E75" s="66" t="n"/>
      <c r="F75" s="67" t="n"/>
      <c r="G75" s="68">
        <f>IF($E75="","",$E75*(1-$F75))</f>
        <v/>
      </c>
      <c r="H75" s="66" t="n"/>
      <c r="I75" s="66" t="n"/>
      <c r="J75" s="69">
        <f>IFERROR(($H75-$G75)/$H75,"")</f>
        <v/>
      </c>
      <c r="K75" s="69">
        <f>IFERROR(($I75-$G75)/$I75,"")</f>
        <v/>
      </c>
    </row>
    <row r="76" ht="15" customHeight="1" s="47">
      <c r="A76" s="64" t="n"/>
      <c r="B76" s="64" t="n"/>
      <c r="C76" s="64" t="n"/>
      <c r="D76" s="64" t="n"/>
      <c r="E76" s="66" t="n"/>
      <c r="F76" s="67" t="n"/>
      <c r="G76" s="68">
        <f>IF($E76="","",$E76*(1-$F76))</f>
        <v/>
      </c>
      <c r="H76" s="66" t="n"/>
      <c r="I76" s="66" t="n"/>
      <c r="J76" s="69">
        <f>IFERROR(($H76-$G76)/$H76,"")</f>
        <v/>
      </c>
      <c r="K76" s="69">
        <f>IFERROR(($I76-$G76)/$I76,"")</f>
        <v/>
      </c>
    </row>
    <row r="77" ht="15" customHeight="1" s="47">
      <c r="A77" s="64" t="n"/>
      <c r="B77" s="64" t="n"/>
      <c r="C77" s="64" t="n"/>
      <c r="D77" s="64" t="n"/>
      <c r="E77" s="66" t="n"/>
      <c r="F77" s="67" t="n"/>
      <c r="G77" s="68">
        <f>IF($E77="","",$E77*(1-$F77))</f>
        <v/>
      </c>
      <c r="H77" s="66" t="n"/>
      <c r="I77" s="66" t="n"/>
      <c r="J77" s="69">
        <f>IFERROR(($H77-$G77)/$H77,"")</f>
        <v/>
      </c>
      <c r="K77" s="69">
        <f>IFERROR(($I77-$G77)/$I77,"")</f>
        <v/>
      </c>
    </row>
    <row r="78" ht="15" customHeight="1" s="47">
      <c r="A78" s="64" t="n"/>
      <c r="B78" s="64" t="n"/>
      <c r="C78" s="64" t="n"/>
      <c r="D78" s="64" t="n"/>
      <c r="E78" s="66" t="n"/>
      <c r="F78" s="67" t="n"/>
      <c r="G78" s="68">
        <f>IF($E78="","",$E78*(1-$F78))</f>
        <v/>
      </c>
      <c r="H78" s="66" t="n"/>
      <c r="I78" s="66" t="n"/>
      <c r="J78" s="69">
        <f>IFERROR(($H78-$G78)/$H78,"")</f>
        <v/>
      </c>
      <c r="K78" s="69">
        <f>IFERROR(($I78-$G78)/$I78,"")</f>
        <v/>
      </c>
    </row>
    <row r="79" ht="15" customHeight="1" s="47">
      <c r="A79" s="64" t="n"/>
      <c r="B79" s="64" t="n"/>
      <c r="C79" s="64" t="n"/>
      <c r="D79" s="64" t="n"/>
      <c r="E79" s="66" t="n"/>
      <c r="F79" s="67" t="n"/>
      <c r="G79" s="68">
        <f>IF($E79="","",$E79*(1-$F79))</f>
        <v/>
      </c>
      <c r="H79" s="66" t="n"/>
      <c r="I79" s="66" t="n"/>
      <c r="J79" s="69">
        <f>IFERROR(($H79-$G79)/$H79,"")</f>
        <v/>
      </c>
      <c r="K79" s="69">
        <f>IFERROR(($I79-$G79)/$I79,"")</f>
        <v/>
      </c>
    </row>
    <row r="80" ht="15" customHeight="1" s="47">
      <c r="A80" s="64" t="n"/>
      <c r="B80" s="64" t="n"/>
      <c r="C80" s="64" t="n"/>
      <c r="D80" s="64" t="n"/>
      <c r="E80" s="66" t="n"/>
      <c r="F80" s="67" t="n"/>
      <c r="G80" s="68">
        <f>IF($E80="","",$E80*(1-$F80))</f>
        <v/>
      </c>
      <c r="H80" s="66" t="n"/>
      <c r="I80" s="66" t="n"/>
      <c r="J80" s="69">
        <f>IFERROR(($H80-$G80)/$H80,"")</f>
        <v/>
      </c>
      <c r="K80" s="69">
        <f>IFERROR(($I80-$G80)/$I80,"")</f>
        <v/>
      </c>
    </row>
    <row r="81" ht="15" customHeight="1" s="47">
      <c r="A81" s="64" t="n"/>
      <c r="B81" s="64" t="n"/>
      <c r="C81" s="64" t="n"/>
      <c r="D81" s="64" t="n"/>
      <c r="E81" s="66" t="n"/>
      <c r="F81" s="67" t="n"/>
      <c r="G81" s="68">
        <f>IF($E81="","",$E81*(1-$F81))</f>
        <v/>
      </c>
      <c r="H81" s="66" t="n"/>
      <c r="I81" s="66" t="n"/>
      <c r="J81" s="69">
        <f>IFERROR(($H81-$G81)/$H81,"")</f>
        <v/>
      </c>
      <c r="K81" s="69">
        <f>IFERROR(($I81-$G81)/$I81,"")</f>
        <v/>
      </c>
    </row>
    <row r="82" ht="15" customHeight="1" s="47">
      <c r="A82" s="64" t="n"/>
      <c r="B82" s="64" t="n"/>
      <c r="C82" s="64" t="n"/>
      <c r="D82" s="64" t="n"/>
      <c r="E82" s="66" t="n"/>
      <c r="F82" s="67" t="n"/>
      <c r="G82" s="68">
        <f>IF($E82="","",$E82*(1-$F82))</f>
        <v/>
      </c>
      <c r="H82" s="66" t="n"/>
      <c r="I82" s="66" t="n"/>
      <c r="J82" s="69">
        <f>IFERROR(($H82-$G82)/$H82,"")</f>
        <v/>
      </c>
      <c r="K82" s="69">
        <f>IFERROR(($I82-$G82)/$I82,"")</f>
        <v/>
      </c>
    </row>
    <row r="83" ht="15" customHeight="1" s="47">
      <c r="A83" s="64" t="n"/>
      <c r="B83" s="64" t="n"/>
      <c r="C83" s="64" t="n"/>
      <c r="D83" s="64" t="n"/>
      <c r="E83" s="66" t="n"/>
      <c r="F83" s="67" t="n"/>
      <c r="G83" s="68">
        <f>IF($E83="","",$E83*(1-$F83))</f>
        <v/>
      </c>
      <c r="H83" s="66" t="n"/>
      <c r="I83" s="66" t="n"/>
      <c r="J83" s="69">
        <f>IFERROR(($H83-$G83)/$H83,"")</f>
        <v/>
      </c>
      <c r="K83" s="69">
        <f>IFERROR(($I83-$G83)/$I83,"")</f>
        <v/>
      </c>
    </row>
    <row r="84" ht="15" customHeight="1" s="47">
      <c r="A84" s="64" t="n"/>
      <c r="B84" s="64" t="n"/>
      <c r="C84" s="64" t="n"/>
      <c r="D84" s="64" t="n"/>
      <c r="E84" s="66" t="n"/>
      <c r="F84" s="67" t="n"/>
      <c r="G84" s="68">
        <f>IF($E84="","",$E84*(1-$F84))</f>
        <v/>
      </c>
      <c r="H84" s="66" t="n"/>
      <c r="I84" s="66" t="n"/>
      <c r="J84" s="69">
        <f>IFERROR(($H84-$G84)/$H84,"")</f>
        <v/>
      </c>
      <c r="K84" s="69">
        <f>IFERROR(($I84-$G84)/$I84,"")</f>
        <v/>
      </c>
    </row>
    <row r="85" ht="15" customHeight="1" s="47">
      <c r="A85" s="64" t="n"/>
      <c r="B85" s="64" t="n"/>
      <c r="C85" s="64" t="n"/>
      <c r="D85" s="64" t="n"/>
      <c r="E85" s="66" t="n"/>
      <c r="F85" s="67" t="n"/>
      <c r="G85" s="68">
        <f>IF($E85="","",$E85*(1-$F85))</f>
        <v/>
      </c>
      <c r="H85" s="66" t="n"/>
      <c r="I85" s="66" t="n"/>
      <c r="J85" s="69">
        <f>IFERROR(($H85-$G85)/$H85,"")</f>
        <v/>
      </c>
      <c r="K85" s="69">
        <f>IFERROR(($I85-$G85)/$I85,"")</f>
        <v/>
      </c>
    </row>
    <row r="86" ht="15" customHeight="1" s="47">
      <c r="A86" s="64" t="n"/>
      <c r="B86" s="64" t="n"/>
      <c r="C86" s="64" t="n"/>
      <c r="D86" s="64" t="n"/>
      <c r="E86" s="66" t="n"/>
      <c r="F86" s="67" t="n"/>
      <c r="G86" s="68">
        <f>IF($E86="","",$E86*(1-$F86))</f>
        <v/>
      </c>
      <c r="H86" s="66" t="n"/>
      <c r="I86" s="66" t="n"/>
      <c r="J86" s="69">
        <f>IFERROR(($H86-$G86)/$H86,"")</f>
        <v/>
      </c>
      <c r="K86" s="69">
        <f>IFERROR(($I86-$G86)/$I86,"")</f>
        <v/>
      </c>
    </row>
    <row r="87" ht="15" customHeight="1" s="47">
      <c r="A87" s="64" t="n"/>
      <c r="B87" s="64" t="n"/>
      <c r="C87" s="64" t="n"/>
      <c r="D87" s="64" t="n"/>
      <c r="E87" s="66" t="n"/>
      <c r="F87" s="67" t="n"/>
      <c r="G87" s="68">
        <f>IF($E87="","",$E87*(1-$F87))</f>
        <v/>
      </c>
      <c r="H87" s="66" t="n"/>
      <c r="I87" s="66" t="n"/>
      <c r="J87" s="69">
        <f>IFERROR(($H87-$G87)/$H87,"")</f>
        <v/>
      </c>
      <c r="K87" s="69">
        <f>IFERROR(($I87-$G87)/$I87,"")</f>
        <v/>
      </c>
    </row>
    <row r="88" ht="15" customHeight="1" s="47">
      <c r="A88" s="64" t="n"/>
      <c r="B88" s="64" t="n"/>
      <c r="C88" s="64" t="n"/>
      <c r="D88" s="64" t="n"/>
      <c r="E88" s="66" t="n"/>
      <c r="F88" s="67" t="n"/>
      <c r="G88" s="68">
        <f>IF($E88="","",$E88*(1-$F88))</f>
        <v/>
      </c>
      <c r="H88" s="66" t="n"/>
      <c r="I88" s="66" t="n"/>
      <c r="J88" s="69">
        <f>IFERROR(($H88-$G88)/$H88,"")</f>
        <v/>
      </c>
      <c r="K88" s="69">
        <f>IFERROR(($I88-$G88)/$I88,"")</f>
        <v/>
      </c>
    </row>
    <row r="89" ht="15" customHeight="1" s="47">
      <c r="A89" s="64" t="n"/>
      <c r="B89" s="64" t="n"/>
      <c r="C89" s="64" t="n"/>
      <c r="D89" s="64" t="n"/>
      <c r="E89" s="66" t="n"/>
      <c r="F89" s="67" t="n"/>
      <c r="G89" s="68">
        <f>IF($E89="","",$E89*(1-$F89))</f>
        <v/>
      </c>
      <c r="H89" s="66" t="n"/>
      <c r="I89" s="66" t="n"/>
      <c r="J89" s="69">
        <f>IFERROR(($H89-$G89)/$H89,"")</f>
        <v/>
      </c>
      <c r="K89" s="69">
        <f>IFERROR(($I89-$G89)/$I89,"")</f>
        <v/>
      </c>
    </row>
    <row r="90" ht="15" customHeight="1" s="47">
      <c r="A90" s="64" t="n"/>
      <c r="B90" s="64" t="n"/>
      <c r="C90" s="64" t="n"/>
      <c r="D90" s="64" t="n"/>
      <c r="E90" s="66" t="n"/>
      <c r="F90" s="67" t="n"/>
      <c r="G90" s="68">
        <f>IF($E90="","",$E90*(1-$F90))</f>
        <v/>
      </c>
      <c r="H90" s="66" t="n"/>
      <c r="I90" s="66" t="n"/>
      <c r="J90" s="69">
        <f>IFERROR(($H90-$G90)/$H90,"")</f>
        <v/>
      </c>
      <c r="K90" s="69">
        <f>IFERROR(($I90-$G90)/$I90,"")</f>
        <v/>
      </c>
    </row>
    <row r="91" ht="15" customHeight="1" s="47">
      <c r="A91" s="64" t="n"/>
      <c r="B91" s="64" t="n"/>
      <c r="C91" s="64" t="n"/>
      <c r="D91" s="64" t="n"/>
      <c r="E91" s="66" t="n"/>
      <c r="F91" s="67" t="n"/>
      <c r="G91" s="68">
        <f>IF($E91="","",$E91*(1-$F91))</f>
        <v/>
      </c>
      <c r="H91" s="66" t="n"/>
      <c r="I91" s="66" t="n"/>
      <c r="J91" s="69">
        <f>IFERROR(($H91-$G91)/$H91,"")</f>
        <v/>
      </c>
      <c r="K91" s="69">
        <f>IFERROR(($I91-$G91)/$I91,"")</f>
        <v/>
      </c>
    </row>
    <row r="92" ht="15" customHeight="1" s="47">
      <c r="A92" s="64" t="n"/>
      <c r="B92" s="64" t="n"/>
      <c r="C92" s="64" t="n"/>
      <c r="D92" s="64" t="n"/>
      <c r="E92" s="66" t="n"/>
      <c r="F92" s="67" t="n"/>
      <c r="G92" s="68">
        <f>IF($E92="","",$E92*(1-$F92))</f>
        <v/>
      </c>
      <c r="H92" s="66" t="n"/>
      <c r="I92" s="66" t="n"/>
      <c r="J92" s="69">
        <f>IFERROR(($H92-$G92)/$H92,"")</f>
        <v/>
      </c>
      <c r="K92" s="69">
        <f>IFERROR(($I92-$G92)/$I92,"")</f>
        <v/>
      </c>
    </row>
    <row r="93" ht="15" customHeight="1" s="47">
      <c r="A93" s="64" t="n"/>
      <c r="B93" s="64" t="n"/>
      <c r="C93" s="64" t="n"/>
      <c r="D93" s="64" t="n"/>
      <c r="E93" s="66" t="n"/>
      <c r="F93" s="67" t="n"/>
      <c r="G93" s="68">
        <f>IF($E93="","",$E93*(1-$F93))</f>
        <v/>
      </c>
      <c r="H93" s="66" t="n"/>
      <c r="I93" s="66" t="n"/>
      <c r="J93" s="69">
        <f>IFERROR(($H93-$G93)/$H93,"")</f>
        <v/>
      </c>
      <c r="K93" s="69">
        <f>IFERROR(($I93-$G93)/$I93,"")</f>
        <v/>
      </c>
    </row>
    <row r="94" ht="15" customHeight="1" s="47">
      <c r="A94" s="64" t="n"/>
      <c r="B94" s="64" t="n"/>
      <c r="C94" s="64" t="n"/>
      <c r="D94" s="64" t="n"/>
      <c r="E94" s="66" t="n"/>
      <c r="F94" s="67" t="n"/>
      <c r="G94" s="68">
        <f>IF($E94="","",$E94*(1-$F94))</f>
        <v/>
      </c>
      <c r="H94" s="66" t="n"/>
      <c r="I94" s="66" t="n"/>
      <c r="J94" s="69">
        <f>IFERROR(($H94-$G94)/$H94,"")</f>
        <v/>
      </c>
      <c r="K94" s="69">
        <f>IFERROR(($I94-$G94)/$I94,"")</f>
        <v/>
      </c>
    </row>
    <row r="95" ht="15" customHeight="1" s="47">
      <c r="A95" s="64" t="n"/>
      <c r="B95" s="64" t="n"/>
      <c r="C95" s="64" t="n"/>
      <c r="D95" s="64" t="n"/>
      <c r="E95" s="66" t="n"/>
      <c r="F95" s="67" t="n"/>
      <c r="G95" s="68">
        <f>IF($E95="","",$E95*(1-$F95))</f>
        <v/>
      </c>
      <c r="H95" s="66" t="n"/>
      <c r="I95" s="66" t="n"/>
      <c r="J95" s="69">
        <f>IFERROR(($H95-$G95)/$H95,"")</f>
        <v/>
      </c>
      <c r="K95" s="69">
        <f>IFERROR(($I95-$G95)/$I95,"")</f>
        <v/>
      </c>
    </row>
    <row r="96" ht="15" customHeight="1" s="47">
      <c r="A96" s="64" t="n"/>
      <c r="B96" s="64" t="n"/>
      <c r="C96" s="64" t="n"/>
      <c r="D96" s="64" t="n"/>
      <c r="E96" s="66" t="n"/>
      <c r="F96" s="67" t="n"/>
      <c r="G96" s="68">
        <f>IF($E96="","",$E96*(1-$F96))</f>
        <v/>
      </c>
      <c r="H96" s="66" t="n"/>
      <c r="I96" s="66" t="n"/>
      <c r="J96" s="69">
        <f>IFERROR(($H96-$G96)/$H96,"")</f>
        <v/>
      </c>
      <c r="K96" s="69">
        <f>IFERROR(($I96-$G96)/$I96,"")</f>
        <v/>
      </c>
    </row>
    <row r="97" ht="15" customHeight="1" s="47">
      <c r="A97" s="64" t="n"/>
      <c r="B97" s="64" t="n"/>
      <c r="C97" s="64" t="n"/>
      <c r="D97" s="64" t="n"/>
      <c r="E97" s="66" t="n"/>
      <c r="F97" s="67" t="n"/>
      <c r="G97" s="68">
        <f>IF($E97="","",$E97*(1-$F97))</f>
        <v/>
      </c>
      <c r="H97" s="66" t="n"/>
      <c r="I97" s="66" t="n"/>
      <c r="J97" s="69">
        <f>IFERROR(($H97-$G97)/$H97,"")</f>
        <v/>
      </c>
      <c r="K97" s="69">
        <f>IFERROR(($I97-$G97)/$I97,"")</f>
        <v/>
      </c>
    </row>
    <row r="98" ht="15" customHeight="1" s="47">
      <c r="A98" s="64" t="n"/>
      <c r="B98" s="64" t="n"/>
      <c r="C98" s="64" t="n"/>
      <c r="D98" s="64" t="n"/>
      <c r="E98" s="66" t="n"/>
      <c r="F98" s="67" t="n"/>
      <c r="G98" s="68">
        <f>IF($E98="","",$E98*(1-$F98))</f>
        <v/>
      </c>
      <c r="H98" s="66" t="n"/>
      <c r="I98" s="66" t="n"/>
      <c r="J98" s="69">
        <f>IFERROR(($H98-$G98)/$H98,"")</f>
        <v/>
      </c>
      <c r="K98" s="69">
        <f>IFERROR(($I98-$G98)/$I98,"")</f>
        <v/>
      </c>
    </row>
    <row r="99" ht="15" customHeight="1" s="47">
      <c r="A99" s="64" t="n"/>
      <c r="B99" s="64" t="n"/>
      <c r="C99" s="64" t="n"/>
      <c r="D99" s="64" t="n"/>
      <c r="E99" s="66" t="n"/>
      <c r="F99" s="67" t="n"/>
      <c r="G99" s="68">
        <f>IF($E99="","",$E99*(1-$F99))</f>
        <v/>
      </c>
      <c r="H99" s="66" t="n"/>
      <c r="I99" s="66" t="n"/>
      <c r="J99" s="69">
        <f>IFERROR(($H99-$G99)/$H99,"")</f>
        <v/>
      </c>
      <c r="K99" s="69">
        <f>IFERROR(($I99-$G99)/$I99,"")</f>
        <v/>
      </c>
    </row>
    <row r="100" ht="15" customHeight="1" s="47">
      <c r="A100" s="64" t="n"/>
      <c r="B100" s="64" t="n"/>
      <c r="C100" s="64" t="n"/>
      <c r="D100" s="64" t="n"/>
      <c r="E100" s="66" t="n"/>
      <c r="F100" s="67" t="n"/>
      <c r="G100" s="68">
        <f>IF($E100="","",$E100*(1-$F100))</f>
        <v/>
      </c>
      <c r="H100" s="66" t="n"/>
      <c r="I100" s="66" t="n"/>
      <c r="J100" s="69">
        <f>IFERROR(($H100-$G100)/$H100,"")</f>
        <v/>
      </c>
      <c r="K100" s="69">
        <f>IFERROR(($I100-$G100)/$I100,"")</f>
        <v/>
      </c>
    </row>
    <row r="101" ht="15" customHeight="1" s="47">
      <c r="A101" s="64" t="n"/>
      <c r="B101" s="64" t="n"/>
      <c r="C101" s="64" t="n"/>
      <c r="D101" s="64" t="n"/>
      <c r="E101" s="66" t="n"/>
      <c r="F101" s="67" t="n"/>
      <c r="G101" s="68">
        <f>IF($E101="","",$E101*(1-$F101))</f>
        <v/>
      </c>
      <c r="H101" s="66" t="n"/>
      <c r="I101" s="66" t="n"/>
      <c r="J101" s="69">
        <f>IFERROR(($H101-$G101)/$H101,"")</f>
        <v/>
      </c>
      <c r="K101" s="69">
        <f>IFERROR(($I101-$G101)/$I101,"")</f>
        <v/>
      </c>
    </row>
    <row r="102" ht="15" customHeight="1" s="47">
      <c r="A102" s="64" t="n"/>
      <c r="B102" s="64" t="n"/>
      <c r="C102" s="64" t="n"/>
      <c r="D102" s="64" t="n"/>
      <c r="E102" s="66" t="n"/>
      <c r="F102" s="67" t="n"/>
      <c r="G102" s="68">
        <f>IF($E102="","",$E102*(1-$F102))</f>
        <v/>
      </c>
      <c r="H102" s="66" t="n"/>
      <c r="I102" s="66" t="n"/>
      <c r="J102" s="69">
        <f>IFERROR(($H102-$G102)/$H102,"")</f>
        <v/>
      </c>
      <c r="K102" s="69">
        <f>IFERROR(($I102-$G102)/$I102,"")</f>
        <v/>
      </c>
    </row>
    <row r="103" ht="15" customHeight="1" s="47">
      <c r="A103" s="64" t="n"/>
      <c r="B103" s="64" t="n"/>
      <c r="C103" s="64" t="n"/>
      <c r="D103" s="64" t="n"/>
      <c r="E103" s="66" t="n"/>
      <c r="F103" s="67" t="n"/>
      <c r="G103" s="68">
        <f>IF($E103="","",$E103*(1-$F103))</f>
        <v/>
      </c>
      <c r="H103" s="66" t="n"/>
      <c r="I103" s="66" t="n"/>
      <c r="J103" s="69">
        <f>IFERROR(($H103-$G103)/$H103,"")</f>
        <v/>
      </c>
      <c r="K103" s="69">
        <f>IFERROR(($I103-$G103)/$I103,"")</f>
        <v/>
      </c>
    </row>
    <row r="104" ht="15" customHeight="1" s="47">
      <c r="A104" s="64" t="n"/>
      <c r="B104" s="64" t="n"/>
      <c r="C104" s="64" t="n"/>
      <c r="D104" s="64" t="n"/>
      <c r="E104" s="66" t="n"/>
      <c r="F104" s="67" t="n"/>
      <c r="G104" s="68">
        <f>IF($E104="","",$E104*(1-$F104))</f>
        <v/>
      </c>
      <c r="H104" s="66" t="n"/>
      <c r="I104" s="66" t="n"/>
      <c r="J104" s="69">
        <f>IFERROR(($H104-$G104)/$H104,"")</f>
        <v/>
      </c>
      <c r="K104" s="69">
        <f>IFERROR(($I104-$G104)/$I104,"")</f>
        <v/>
      </c>
    </row>
    <row r="105" ht="15" customHeight="1" s="47">
      <c r="A105" s="64" t="n"/>
      <c r="B105" s="64" t="n"/>
      <c r="C105" s="64" t="n"/>
      <c r="D105" s="64" t="n"/>
      <c r="E105" s="66" t="n"/>
      <c r="F105" s="67" t="n"/>
      <c r="G105" s="68">
        <f>IF($E105="","",$E105*(1-$F105))</f>
        <v/>
      </c>
      <c r="H105" s="66" t="n"/>
      <c r="I105" s="66" t="n"/>
      <c r="J105" s="69">
        <f>IFERROR(($H105-$G105)/$H105,"")</f>
        <v/>
      </c>
      <c r="K105" s="69">
        <f>IFERROR(($I105-$G105)/$I105,"")</f>
        <v/>
      </c>
    </row>
    <row r="106" ht="15" customHeight="1" s="47">
      <c r="A106" s="64" t="n"/>
      <c r="B106" s="64" t="n"/>
      <c r="C106" s="64" t="n"/>
      <c r="D106" s="64" t="n"/>
      <c r="E106" s="66" t="n"/>
      <c r="F106" s="67" t="n"/>
      <c r="G106" s="68">
        <f>IF($E106="","",$E106*(1-$F106))</f>
        <v/>
      </c>
      <c r="H106" s="66" t="n"/>
      <c r="I106" s="66" t="n"/>
      <c r="J106" s="69">
        <f>IFERROR(($H106-$G106)/$H106,"")</f>
        <v/>
      </c>
      <c r="K106" s="69">
        <f>IFERROR(($I106-$G106)/$I106,"")</f>
        <v/>
      </c>
    </row>
    <row r="107" ht="15" customHeight="1" s="47">
      <c r="A107" s="64" t="n"/>
      <c r="B107" s="64" t="n"/>
      <c r="C107" s="64" t="n"/>
      <c r="D107" s="64" t="n"/>
      <c r="E107" s="66" t="n"/>
      <c r="F107" s="67" t="n"/>
      <c r="G107" s="68">
        <f>IF($E107="","",$E107*(1-$F107))</f>
        <v/>
      </c>
      <c r="H107" s="66" t="n"/>
      <c r="I107" s="66" t="n"/>
      <c r="J107" s="69">
        <f>IFERROR(($H107-$G107)/$H107,"")</f>
        <v/>
      </c>
      <c r="K107" s="69">
        <f>IFERROR(($I107-$G107)/$I107,"")</f>
        <v/>
      </c>
    </row>
    <row r="108" ht="15" customHeight="1" s="47">
      <c r="A108" s="64" t="n"/>
      <c r="B108" s="64" t="n"/>
      <c r="C108" s="64" t="n"/>
      <c r="D108" s="64" t="n"/>
      <c r="E108" s="66" t="n"/>
      <c r="F108" s="67" t="n"/>
      <c r="G108" s="68">
        <f>IF($E108="","",$E108*(1-$F108))</f>
        <v/>
      </c>
      <c r="H108" s="66" t="n"/>
      <c r="I108" s="66" t="n"/>
      <c r="J108" s="69">
        <f>IFERROR(($H108-$G108)/$H108,"")</f>
        <v/>
      </c>
      <c r="K108" s="69">
        <f>IFERROR(($I108-$G108)/$I108,"")</f>
        <v/>
      </c>
    </row>
    <row r="109" ht="15" customHeight="1" s="47">
      <c r="A109" s="64" t="n"/>
      <c r="B109" s="64" t="n"/>
      <c r="C109" s="64" t="n"/>
      <c r="D109" s="64" t="n"/>
      <c r="E109" s="66" t="n"/>
      <c r="F109" s="67" t="n"/>
      <c r="G109" s="68">
        <f>IF($E109="","",$E109*(1-$F109))</f>
        <v/>
      </c>
      <c r="H109" s="66" t="n"/>
      <c r="I109" s="66" t="n"/>
      <c r="J109" s="69">
        <f>IFERROR(($H109-$G109)/$H109,"")</f>
        <v/>
      </c>
      <c r="K109" s="69">
        <f>IFERROR(($I109-$G109)/$I109,"")</f>
        <v/>
      </c>
    </row>
    <row r="110" ht="15" customHeight="1" s="47">
      <c r="A110" s="64" t="n"/>
      <c r="B110" s="64" t="n"/>
      <c r="C110" s="64" t="n"/>
      <c r="D110" s="64" t="n"/>
      <c r="E110" s="66" t="n"/>
      <c r="F110" s="67" t="n"/>
      <c r="G110" s="68">
        <f>IF($E110="","",$E110*(1-$F110))</f>
        <v/>
      </c>
      <c r="H110" s="66" t="n"/>
      <c r="I110" s="66" t="n"/>
      <c r="J110" s="69">
        <f>IFERROR(($H110-$G110)/$H110,"")</f>
        <v/>
      </c>
      <c r="K110" s="69">
        <f>IFERROR(($I110-$G110)/$I110,"")</f>
        <v/>
      </c>
    </row>
    <row r="111" ht="15" customHeight="1" s="47">
      <c r="A111" s="64" t="n"/>
      <c r="B111" s="64" t="n"/>
      <c r="C111" s="64" t="n"/>
      <c r="D111" s="64" t="n"/>
      <c r="E111" s="66" t="n"/>
      <c r="F111" s="67" t="n"/>
      <c r="G111" s="68">
        <f>IF($E111="","",$E111*(1-$F111))</f>
        <v/>
      </c>
      <c r="H111" s="66" t="n"/>
      <c r="I111" s="66" t="n"/>
      <c r="J111" s="69">
        <f>IFERROR(($H111-$G111)/$H111,"")</f>
        <v/>
      </c>
      <c r="K111" s="69">
        <f>IFERROR(($I111-$G111)/$I111,"")</f>
        <v/>
      </c>
    </row>
    <row r="112" ht="15" customHeight="1" s="47">
      <c r="A112" s="64" t="n"/>
      <c r="B112" s="64" t="n"/>
      <c r="C112" s="64" t="n"/>
      <c r="D112" s="64" t="n"/>
      <c r="E112" s="66" t="n"/>
      <c r="F112" s="67" t="n"/>
      <c r="G112" s="68">
        <f>IF($E112="","",$E112*(1-$F112))</f>
        <v/>
      </c>
      <c r="H112" s="66" t="n"/>
      <c r="I112" s="66" t="n"/>
      <c r="J112" s="69">
        <f>IFERROR(($H112-$G112)/$H112,"")</f>
        <v/>
      </c>
      <c r="K112" s="69">
        <f>IFERROR(($I112-$G112)/$I112,"")</f>
        <v/>
      </c>
    </row>
    <row r="113" ht="15" customHeight="1" s="47">
      <c r="A113" s="64" t="n"/>
      <c r="B113" s="64" t="n"/>
      <c r="C113" s="64" t="n"/>
      <c r="D113" s="64" t="n"/>
      <c r="E113" s="66" t="n"/>
      <c r="F113" s="67" t="n"/>
      <c r="G113" s="68">
        <f>IF($E113="","",$E113*(1-$F113))</f>
        <v/>
      </c>
      <c r="H113" s="66" t="n"/>
      <c r="I113" s="66" t="n"/>
      <c r="J113" s="69">
        <f>IFERROR(($H113-$G113)/$H113,"")</f>
        <v/>
      </c>
      <c r="K113" s="69">
        <f>IFERROR(($I113-$G113)/$I113,"")</f>
        <v/>
      </c>
    </row>
    <row r="114" ht="15" customHeight="1" s="47">
      <c r="A114" s="64" t="n"/>
      <c r="B114" s="64" t="n"/>
      <c r="C114" s="64" t="n"/>
      <c r="D114" s="64" t="n"/>
      <c r="E114" s="66" t="n"/>
      <c r="F114" s="67" t="n"/>
      <c r="G114" s="68">
        <f>IF($E114="","",$E114*(1-$F114))</f>
        <v/>
      </c>
      <c r="H114" s="66" t="n"/>
      <c r="I114" s="66" t="n"/>
      <c r="J114" s="69">
        <f>IFERROR(($H114-$G114)/$H114,"")</f>
        <v/>
      </c>
      <c r="K114" s="69">
        <f>IFERROR(($I114-$G114)/$I114,"")</f>
        <v/>
      </c>
    </row>
    <row r="115" ht="15" customHeight="1" s="47">
      <c r="A115" s="64" t="n"/>
      <c r="B115" s="64" t="n"/>
      <c r="C115" s="64" t="n"/>
      <c r="D115" s="64" t="n"/>
      <c r="E115" s="66" t="n"/>
      <c r="F115" s="67" t="n"/>
      <c r="G115" s="68">
        <f>IF($E115="","",$E115*(1-$F115))</f>
        <v/>
      </c>
      <c r="H115" s="66" t="n"/>
      <c r="I115" s="66" t="n"/>
      <c r="J115" s="69">
        <f>IFERROR(($H115-$G115)/$H115,"")</f>
        <v/>
      </c>
      <c r="K115" s="69">
        <f>IFERROR(($I115-$G115)/$I115,"")</f>
        <v/>
      </c>
    </row>
    <row r="116" ht="15" customHeight="1" s="47">
      <c r="A116" s="64" t="n"/>
      <c r="B116" s="64" t="n"/>
      <c r="C116" s="64" t="n"/>
      <c r="D116" s="64" t="n"/>
      <c r="E116" s="66" t="n"/>
      <c r="F116" s="67" t="n"/>
      <c r="G116" s="68">
        <f>IF($E116="","",$E116*(1-$F116))</f>
        <v/>
      </c>
      <c r="H116" s="66" t="n"/>
      <c r="I116" s="66" t="n"/>
      <c r="J116" s="69">
        <f>IFERROR(($H116-$G116)/$H116,"")</f>
        <v/>
      </c>
      <c r="K116" s="69">
        <f>IFERROR(($I116-$G116)/$I116,"")</f>
        <v/>
      </c>
    </row>
    <row r="117" ht="15" customHeight="1" s="47">
      <c r="A117" s="64" t="n"/>
      <c r="B117" s="64" t="n"/>
      <c r="C117" s="64" t="n"/>
      <c r="D117" s="64" t="n"/>
      <c r="E117" s="66" t="n"/>
      <c r="F117" s="67" t="n"/>
      <c r="G117" s="68">
        <f>IF($E117="","",$E117*(1-$F117))</f>
        <v/>
      </c>
      <c r="H117" s="66" t="n"/>
      <c r="I117" s="66" t="n"/>
      <c r="J117" s="69">
        <f>IFERROR(($H117-$G117)/$H117,"")</f>
        <v/>
      </c>
      <c r="K117" s="69">
        <f>IFERROR(($I117-$G117)/$I117,"")</f>
        <v/>
      </c>
    </row>
    <row r="118" ht="15" customHeight="1" s="47">
      <c r="A118" s="64" t="n"/>
      <c r="B118" s="64" t="n"/>
      <c r="C118" s="64" t="n"/>
      <c r="D118" s="64" t="n"/>
      <c r="E118" s="66" t="n"/>
      <c r="F118" s="67" t="n"/>
      <c r="G118" s="68">
        <f>IF($E118="","",$E118*(1-$F118))</f>
        <v/>
      </c>
      <c r="H118" s="66" t="n"/>
      <c r="I118" s="66" t="n"/>
      <c r="J118" s="69">
        <f>IFERROR(($H118-$G118)/$H118,"")</f>
        <v/>
      </c>
      <c r="K118" s="69">
        <f>IFERROR(($I118-$G118)/$I118,"")</f>
        <v/>
      </c>
    </row>
    <row r="119" ht="15" customHeight="1" s="47">
      <c r="A119" s="64" t="n"/>
      <c r="B119" s="64" t="n"/>
      <c r="C119" s="64" t="n"/>
      <c r="D119" s="64" t="n"/>
      <c r="E119" s="66" t="n"/>
      <c r="F119" s="67" t="n"/>
      <c r="G119" s="68">
        <f>IF($E119="","",$E119*(1-$F119))</f>
        <v/>
      </c>
      <c r="H119" s="66" t="n"/>
      <c r="I119" s="66" t="n"/>
      <c r="J119" s="69">
        <f>IFERROR(($H119-$G119)/$H119,"")</f>
        <v/>
      </c>
      <c r="K119" s="69">
        <f>IFERROR(($I119-$G119)/$I119,"")</f>
        <v/>
      </c>
    </row>
    <row r="120" ht="15" customHeight="1" s="47">
      <c r="A120" s="64" t="n"/>
      <c r="B120" s="64" t="n"/>
      <c r="C120" s="64" t="n"/>
      <c r="D120" s="64" t="n"/>
      <c r="E120" s="66" t="n"/>
      <c r="F120" s="67" t="n"/>
      <c r="G120" s="68">
        <f>IF($E120="","",$E120*(1-$F120))</f>
        <v/>
      </c>
      <c r="H120" s="66" t="n"/>
      <c r="I120" s="66" t="n"/>
      <c r="J120" s="69">
        <f>IFERROR(($H120-$G120)/$H120,"")</f>
        <v/>
      </c>
      <c r="K120" s="69">
        <f>IFERROR(($I120-$G120)/$I120,"")</f>
        <v/>
      </c>
    </row>
    <row r="121" ht="15" customHeight="1" s="47">
      <c r="A121" s="64" t="n"/>
      <c r="B121" s="64" t="n"/>
      <c r="C121" s="64" t="n"/>
      <c r="D121" s="64" t="n"/>
      <c r="E121" s="66" t="n"/>
      <c r="F121" s="67" t="n"/>
      <c r="G121" s="68">
        <f>IF($E121="","",$E121*(1-$F121))</f>
        <v/>
      </c>
      <c r="H121" s="66" t="n"/>
      <c r="I121" s="66" t="n"/>
      <c r="J121" s="69">
        <f>IFERROR(($H121-$G121)/$H121,"")</f>
        <v/>
      </c>
      <c r="K121" s="69">
        <f>IFERROR(($I121-$G121)/$I121,"")</f>
        <v/>
      </c>
    </row>
    <row r="122" ht="15" customHeight="1" s="47">
      <c r="A122" s="64" t="n"/>
      <c r="B122" s="64" t="n"/>
      <c r="C122" s="64" t="n"/>
      <c r="D122" s="64" t="n"/>
      <c r="E122" s="66" t="n"/>
      <c r="F122" s="67" t="n"/>
      <c r="G122" s="68">
        <f>IF($E122="","",$E122*(1-$F122))</f>
        <v/>
      </c>
      <c r="H122" s="66" t="n"/>
      <c r="I122" s="66" t="n"/>
      <c r="J122" s="69">
        <f>IFERROR(($H122-$G122)/$H122,"")</f>
        <v/>
      </c>
      <c r="K122" s="69">
        <f>IFERROR(($I122-$G122)/$I122,"")</f>
        <v/>
      </c>
    </row>
    <row r="123" ht="15" customHeight="1" s="47">
      <c r="A123" s="64" t="n"/>
      <c r="B123" s="64" t="n"/>
      <c r="C123" s="64" t="n"/>
      <c r="D123" s="64" t="n"/>
      <c r="E123" s="66" t="n"/>
      <c r="F123" s="67" t="n"/>
      <c r="G123" s="68">
        <f>IF($E123="","",$E123*(1-$F123))</f>
        <v/>
      </c>
      <c r="H123" s="66" t="n"/>
      <c r="I123" s="66" t="n"/>
      <c r="J123" s="69">
        <f>IFERROR(($H123-$G123)/$H123,"")</f>
        <v/>
      </c>
      <c r="K123" s="69">
        <f>IFERROR(($I123-$G123)/$I123,"")</f>
        <v/>
      </c>
    </row>
    <row r="124" ht="15" customHeight="1" s="47">
      <c r="A124" s="64" t="n"/>
      <c r="B124" s="64" t="n"/>
      <c r="C124" s="64" t="n"/>
      <c r="D124" s="64" t="n"/>
      <c r="E124" s="66" t="n"/>
      <c r="F124" s="67" t="n"/>
      <c r="G124" s="68">
        <f>IF($E124="","",$E124*(1-$F124))</f>
        <v/>
      </c>
      <c r="H124" s="66" t="n"/>
      <c r="I124" s="66" t="n"/>
      <c r="J124" s="69">
        <f>IFERROR(($H124-$G124)/$H124,"")</f>
        <v/>
      </c>
      <c r="K124" s="69">
        <f>IFERROR(($I124-$G124)/$I124,"")</f>
        <v/>
      </c>
    </row>
    <row r="126" ht="15" customHeight="1" s="47">
      <c r="A126" s="62" t="inlineStr">
        <is>
          <t>La fila 5 es un ejemplo: bórrela. El «precio mínimo autorizado» es el piso por debajo del cual la tienda no puede vender sin aprobación; la última columna le muestra qué margen queda en ese piso.</t>
        </is>
      </c>
    </row>
  </sheetData>
  <mergeCells count="3">
    <mergeCell ref="A2:K2"/>
    <mergeCell ref="A126:H126"/>
    <mergeCell ref="A1:K1"/>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0"/>
  </sheetPr>
  <dimension ref="A1:O306"/>
  <sheetViews>
    <sheetView showFormulas="0" showGridLines="0" showRowColHeaders="1" showZeros="1" rightToLeft="0" tabSelected="0" showOutlineSymbols="1" defaultGridColor="1"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baseColWidth="8" defaultColWidth="8.6796875" defaultRowHeight="15" customHeight="0" zeroHeight="0" outlineLevelRow="0"/>
  <cols>
    <col width="10" customWidth="1" style="46" min="1" max="1"/>
    <col width="12" customWidth="1" style="46" min="2" max="2"/>
    <col width="30" customWidth="1" style="46" min="3" max="3"/>
    <col width="16" customWidth="1" style="46" min="4" max="4"/>
    <col width="11" customWidth="1" style="46" min="5" max="5"/>
    <col width="12" customWidth="1" style="46" min="6" max="6"/>
    <col width="15" customWidth="1" style="46" min="7" max="8"/>
    <col width="11" customWidth="1" style="46" min="9" max="9"/>
    <col width="12" customWidth="1" style="46" min="10" max="10"/>
    <col width="15" customWidth="1" style="46" min="11" max="12"/>
    <col width="14" customWidth="1" style="46" min="13" max="13"/>
    <col width="20" customWidth="1" style="46" min="14" max="15"/>
  </cols>
  <sheetData>
    <row r="1" ht="30" customHeight="1" s="47">
      <c r="A1" s="48" t="inlineStr">
        <is>
          <t>ADIMCLO  ·  Inventario por SKU y punto de venta</t>
        </is>
      </c>
    </row>
    <row r="2" ht="18" customHeight="1" s="47">
      <c r="A2" s="49" t="inlineStr">
        <is>
          <t>Una fila por combinación SKU–tienda. Escriba tienda, SKU y stock actual.</t>
        </is>
      </c>
    </row>
    <row r="4" ht="30" customHeight="1" s="47">
      <c r="A4" s="63" t="inlineStr">
        <is>
          <t>Tienda</t>
        </is>
      </c>
      <c r="B4" s="63" t="inlineStr">
        <is>
          <t>SKU</t>
        </is>
      </c>
      <c r="C4" s="63" t="inlineStr">
        <is>
          <t>Descripción</t>
        </is>
      </c>
      <c r="D4" s="63" t="inlineStr">
        <is>
          <t>Marca</t>
        </is>
      </c>
      <c r="E4" s="63" t="inlineStr">
        <is>
          <t>Stock actual</t>
        </is>
      </c>
      <c r="F4" s="63" t="inlineStr">
        <is>
          <t>Unidades vendidas</t>
        </is>
      </c>
      <c r="G4" s="63" t="inlineStr">
        <is>
          <t>Venta neta</t>
        </is>
      </c>
      <c r="H4" s="63" t="inlineStr">
        <is>
          <t>Margen $</t>
        </is>
      </c>
      <c r="I4" s="63" t="inlineStr">
        <is>
          <t>Venta diaria</t>
        </is>
      </c>
      <c r="J4" s="63" t="inlineStr">
        <is>
          <t>Días de cobertura</t>
        </is>
      </c>
      <c r="K4" s="63" t="inlineStr">
        <is>
          <t>Capital a costo</t>
        </is>
      </c>
      <c r="L4" s="63" t="inlineStr">
        <is>
          <t>Costo financiero del stock</t>
        </is>
      </c>
      <c r="M4" s="63" t="inlineStr">
        <is>
          <t>Cobertura de la cadena</t>
        </is>
      </c>
      <c r="N4" s="63" t="inlineStr">
        <is>
          <t>Estado</t>
        </is>
      </c>
      <c r="O4" s="63" t="inlineStr">
        <is>
          <t>Traslado sugerido</t>
        </is>
      </c>
    </row>
    <row r="5" ht="15" customHeight="1" s="47">
      <c r="A5" s="182" t="inlineStr">
        <is>
          <t>T01</t>
        </is>
      </c>
      <c r="B5" s="182" t="inlineStr">
        <is>
          <t>EL-001</t>
        </is>
      </c>
      <c r="C5" s="59">
        <f>IFERROR(INDEX(Productos!$B$5:$B$124,MATCH($B5,Productos!$A$5:$A$124,0)),"")</f>
        <v/>
      </c>
      <c r="D5" s="59">
        <f>IFERROR(INDEX(Productos!$D$5:$D$124,MATCH($B5,Productos!$A$5:$A$124,0)),"")</f>
        <v/>
      </c>
      <c r="E5" s="186" t="n">
        <v>5</v>
      </c>
      <c r="F5" s="70">
        <f>IF($B5="",0,SUMIFS(Ventas!$F$5:$F$504,Ventas!$B$5:$B$504,$A5,Ventas!$C$5:$C$504,$B5))</f>
        <v/>
      </c>
      <c r="G5" s="71">
        <f>IF($B5="",0,SUMIFS(Ventas!$L$5:$L$504,Ventas!$B$5:$B$504,$A5,Ventas!$C$5:$C$504,$B5))</f>
        <v/>
      </c>
      <c r="H5" s="71">
        <f>IF($B5="",0,SUMIFS(Ventas!$P$5:$P$504,Ventas!$B$5:$B$504,$A5,Ventas!$C$5:$C$504,$B5))</f>
        <v/>
      </c>
      <c r="I5" s="72">
        <f>IF($F5=0,0,$F5/Inicio!$C$22)</f>
        <v/>
      </c>
      <c r="J5" s="73">
        <f>IF($I5=0,"",ROUND($E5/$I5,0))</f>
        <v/>
      </c>
      <c r="K5" s="71">
        <f>IF($B5="",0,$E5*IFERROR(INDEX(Productos!$G$5:$G$124,MATCH($B5,Productos!$A$5:$A$124,0)),0))</f>
        <v/>
      </c>
      <c r="L5" s="71">
        <f>IF($K5=0,0,$K5*Inicio!$C$25/365*Inicio!$C$22)</f>
        <v/>
      </c>
      <c r="M5" s="73">
        <f>IF($B5="","",IF(SUMIF($B$5:$B$304,$B5,$F$5:$F$304)=0,"",ROUND(SUMIF($B$5:$B$304,$B5,$E$5:$E$304)/(SUMIF($B$5:$B$304,$B5,$F$5:$F$304)/Inicio!$C$22),0)))</f>
        <v/>
      </c>
      <c r="N5" s="74">
        <f>IF($B5="","",IF(AND($E5&lt;=0,$F5&gt;0),"QUIEBRE",IF(AND($F5=0,$E5&gt;0),"SIN ROTACIÓN",IF($J5="","",IF($J5&lt;Inicio!$C$23,"RIESGO DE QUIEBRE",IF($J5&gt;Inicio!$C$24*1.5,"EXCESO","SANO"))))))</f>
        <v/>
      </c>
      <c r="O5" s="74">
        <f>IF($M5="","",IF($J5="","",IF($J5&gt;2*$M5,"ENVIAR a otra tienda",IF($J5&lt;0.5*$M5,"PEDIR traslado","—"))))</f>
        <v/>
      </c>
    </row>
    <row r="6" ht="15" customHeight="1" s="47">
      <c r="A6" s="182" t="inlineStr">
        <is>
          <t>T01</t>
        </is>
      </c>
      <c r="B6" s="182" t="inlineStr">
        <is>
          <t>EL-002</t>
        </is>
      </c>
      <c r="C6" s="59">
        <f>IFERROR(INDEX(Productos!$B$5:$B$124,MATCH($B6,Productos!$A$5:$A$124,0)),"")</f>
        <v/>
      </c>
      <c r="D6" s="59">
        <f>IFERROR(INDEX(Productos!$D$5:$D$124,MATCH($B6,Productos!$A$5:$A$124,0)),"")</f>
        <v/>
      </c>
      <c r="E6" s="186" t="n">
        <v>4</v>
      </c>
      <c r="F6" s="70">
        <f>IF($B6="",0,SUMIFS(Ventas!$F$5:$F$504,Ventas!$B$5:$B$504,$A6,Ventas!$C$5:$C$504,$B6))</f>
        <v/>
      </c>
      <c r="G6" s="71">
        <f>IF($B6="",0,SUMIFS(Ventas!$L$5:$L$504,Ventas!$B$5:$B$504,$A6,Ventas!$C$5:$C$504,$B6))</f>
        <v/>
      </c>
      <c r="H6" s="71">
        <f>IF($B6="",0,SUMIFS(Ventas!$P$5:$P$504,Ventas!$B$5:$B$504,$A6,Ventas!$C$5:$C$504,$B6))</f>
        <v/>
      </c>
      <c r="I6" s="72">
        <f>IF($F6=0,0,$F6/Inicio!$C$22)</f>
        <v/>
      </c>
      <c r="J6" s="73">
        <f>IF($I6=0,"",ROUND($E6/$I6,0))</f>
        <v/>
      </c>
      <c r="K6" s="71">
        <f>IF($B6="",0,$E6*IFERROR(INDEX(Productos!$G$5:$G$124,MATCH($B6,Productos!$A$5:$A$124,0)),0))</f>
        <v/>
      </c>
      <c r="L6" s="71">
        <f>IF($K6=0,0,$K6*Inicio!$C$25/365*Inicio!$C$22)</f>
        <v/>
      </c>
      <c r="M6" s="73">
        <f>IF($B6="","",IF(SUMIF($B$5:$B$304,$B6,$F$5:$F$304)=0,"",ROUND(SUMIF($B$5:$B$304,$B6,$E$5:$E$304)/(SUMIF($B$5:$B$304,$B6,$F$5:$F$304)/Inicio!$C$22),0)))</f>
        <v/>
      </c>
      <c r="N6" s="74">
        <f>IF($B6="","",IF(AND($E6&lt;=0,$F6&gt;0),"QUIEBRE",IF(AND($F6=0,$E6&gt;0),"SIN ROTACIÓN",IF($J6="","",IF($J6&lt;Inicio!$C$23,"RIESGO DE QUIEBRE",IF($J6&gt;Inicio!$C$24*1.5,"EXCESO","SANO"))))))</f>
        <v/>
      </c>
      <c r="O6" s="74">
        <f>IF($M6="","",IF($J6="","",IF($J6&gt;2*$M6,"ENVIAR a otra tienda",IF($J6&lt;0.5*$M6,"PEDIR traslado","—"))))</f>
        <v/>
      </c>
    </row>
    <row r="7" ht="15" customHeight="1" s="47">
      <c r="A7" s="182" t="inlineStr">
        <is>
          <t>T01</t>
        </is>
      </c>
      <c r="B7" s="182" t="inlineStr">
        <is>
          <t>EL-003</t>
        </is>
      </c>
      <c r="C7" s="59">
        <f>IFERROR(INDEX(Productos!$B$5:$B$124,MATCH($B7,Productos!$A$5:$A$124,0)),"")</f>
        <v/>
      </c>
      <c r="D7" s="59">
        <f>IFERROR(INDEX(Productos!$D$5:$D$124,MATCH($B7,Productos!$A$5:$A$124,0)),"")</f>
        <v/>
      </c>
      <c r="E7" s="186" t="n">
        <v>10</v>
      </c>
      <c r="F7" s="70">
        <f>IF($B7="",0,SUMIFS(Ventas!$F$5:$F$504,Ventas!$B$5:$B$504,$A7,Ventas!$C$5:$C$504,$B7))</f>
        <v/>
      </c>
      <c r="G7" s="71">
        <f>IF($B7="",0,SUMIFS(Ventas!$L$5:$L$504,Ventas!$B$5:$B$504,$A7,Ventas!$C$5:$C$504,$B7))</f>
        <v/>
      </c>
      <c r="H7" s="71">
        <f>IF($B7="",0,SUMIFS(Ventas!$P$5:$P$504,Ventas!$B$5:$B$504,$A7,Ventas!$C$5:$C$504,$B7))</f>
        <v/>
      </c>
      <c r="I7" s="72">
        <f>IF($F7=0,0,$F7/Inicio!$C$22)</f>
        <v/>
      </c>
      <c r="J7" s="73">
        <f>IF($I7=0,"",ROUND($E7/$I7,0))</f>
        <v/>
      </c>
      <c r="K7" s="71">
        <f>IF($B7="",0,$E7*IFERROR(INDEX(Productos!$G$5:$G$124,MATCH($B7,Productos!$A$5:$A$124,0)),0))</f>
        <v/>
      </c>
      <c r="L7" s="71">
        <f>IF($K7=0,0,$K7*Inicio!$C$25/365*Inicio!$C$22)</f>
        <v/>
      </c>
      <c r="M7" s="73">
        <f>IF($B7="","",IF(SUMIF($B$5:$B$304,$B7,$F$5:$F$304)=0,"",ROUND(SUMIF($B$5:$B$304,$B7,$E$5:$E$304)/(SUMIF($B$5:$B$304,$B7,$F$5:$F$304)/Inicio!$C$22),0)))</f>
        <v/>
      </c>
      <c r="N7" s="74">
        <f>IF($B7="","",IF(AND($E7&lt;=0,$F7&gt;0),"QUIEBRE",IF(AND($F7=0,$E7&gt;0),"SIN ROTACIÓN",IF($J7="","",IF($J7&lt;Inicio!$C$23,"RIESGO DE QUIEBRE",IF($J7&gt;Inicio!$C$24*1.5,"EXCESO","SANO"))))))</f>
        <v/>
      </c>
      <c r="O7" s="74">
        <f>IF($M7="","",IF($J7="","",IF($J7&gt;2*$M7,"ENVIAR a otra tienda",IF($J7&lt;0.5*$M7,"PEDIR traslado","—"))))</f>
        <v/>
      </c>
    </row>
    <row r="8" ht="15" customHeight="1" s="47">
      <c r="A8" s="182" t="inlineStr">
        <is>
          <t>T01</t>
        </is>
      </c>
      <c r="B8" s="182" t="inlineStr">
        <is>
          <t>EL-004</t>
        </is>
      </c>
      <c r="C8" s="59">
        <f>IFERROR(INDEX(Productos!$B$5:$B$124,MATCH($B8,Productos!$A$5:$A$124,0)),"")</f>
        <v/>
      </c>
      <c r="D8" s="59">
        <f>IFERROR(INDEX(Productos!$D$5:$D$124,MATCH($B8,Productos!$A$5:$A$124,0)),"")</f>
        <v/>
      </c>
      <c r="E8" s="186" t="n">
        <v>2</v>
      </c>
      <c r="F8" s="70">
        <f>IF($B8="",0,SUMIFS(Ventas!$F$5:$F$504,Ventas!$B$5:$B$504,$A8,Ventas!$C$5:$C$504,$B8))</f>
        <v/>
      </c>
      <c r="G8" s="71">
        <f>IF($B8="",0,SUMIFS(Ventas!$L$5:$L$504,Ventas!$B$5:$B$504,$A8,Ventas!$C$5:$C$504,$B8))</f>
        <v/>
      </c>
      <c r="H8" s="71">
        <f>IF($B8="",0,SUMIFS(Ventas!$P$5:$P$504,Ventas!$B$5:$B$504,$A8,Ventas!$C$5:$C$504,$B8))</f>
        <v/>
      </c>
      <c r="I8" s="72">
        <f>IF($F8=0,0,$F8/Inicio!$C$22)</f>
        <v/>
      </c>
      <c r="J8" s="73">
        <f>IF($I8=0,"",ROUND($E8/$I8,0))</f>
        <v/>
      </c>
      <c r="K8" s="71">
        <f>IF($B8="",0,$E8*IFERROR(INDEX(Productos!$G$5:$G$124,MATCH($B8,Productos!$A$5:$A$124,0)),0))</f>
        <v/>
      </c>
      <c r="L8" s="71">
        <f>IF($K8=0,0,$K8*Inicio!$C$25/365*Inicio!$C$22)</f>
        <v/>
      </c>
      <c r="M8" s="73">
        <f>IF($B8="","",IF(SUMIF($B$5:$B$304,$B8,$F$5:$F$304)=0,"",ROUND(SUMIF($B$5:$B$304,$B8,$E$5:$E$304)/(SUMIF($B$5:$B$304,$B8,$F$5:$F$304)/Inicio!$C$22),0)))</f>
        <v/>
      </c>
      <c r="N8" s="74">
        <f>IF($B8="","",IF(AND($E8&lt;=0,$F8&gt;0),"QUIEBRE",IF(AND($F8=0,$E8&gt;0),"SIN ROTACIÓN",IF($J8="","",IF($J8&lt;Inicio!$C$23,"RIESGO DE QUIEBRE",IF($J8&gt;Inicio!$C$24*1.5,"EXCESO","SANO"))))))</f>
        <v/>
      </c>
      <c r="O8" s="74">
        <f>IF($M8="","",IF($J8="","",IF($J8&gt;2*$M8,"ENVIAR a otra tienda",IF($J8&lt;0.5*$M8,"PEDIR traslado","—"))))</f>
        <v/>
      </c>
    </row>
    <row r="9" ht="15" customHeight="1" s="47">
      <c r="A9" s="182" t="inlineStr">
        <is>
          <t>T01</t>
        </is>
      </c>
      <c r="B9" s="182" t="inlineStr">
        <is>
          <t>EL-005</t>
        </is>
      </c>
      <c r="C9" s="59">
        <f>IFERROR(INDEX(Productos!$B$5:$B$124,MATCH($B9,Productos!$A$5:$A$124,0)),"")</f>
        <v/>
      </c>
      <c r="D9" s="59">
        <f>IFERROR(INDEX(Productos!$D$5:$D$124,MATCH($B9,Productos!$A$5:$A$124,0)),"")</f>
        <v/>
      </c>
      <c r="E9" s="186" t="n">
        <v>1</v>
      </c>
      <c r="F9" s="70">
        <f>IF($B9="",0,SUMIFS(Ventas!$F$5:$F$504,Ventas!$B$5:$B$504,$A9,Ventas!$C$5:$C$504,$B9))</f>
        <v/>
      </c>
      <c r="G9" s="71">
        <f>IF($B9="",0,SUMIFS(Ventas!$L$5:$L$504,Ventas!$B$5:$B$504,$A9,Ventas!$C$5:$C$504,$B9))</f>
        <v/>
      </c>
      <c r="H9" s="71">
        <f>IF($B9="",0,SUMIFS(Ventas!$P$5:$P$504,Ventas!$B$5:$B$504,$A9,Ventas!$C$5:$C$504,$B9))</f>
        <v/>
      </c>
      <c r="I9" s="72">
        <f>IF($F9=0,0,$F9/Inicio!$C$22)</f>
        <v/>
      </c>
      <c r="J9" s="73">
        <f>IF($I9=0,"",ROUND($E9/$I9,0))</f>
        <v/>
      </c>
      <c r="K9" s="71">
        <f>IF($B9="",0,$E9*IFERROR(INDEX(Productos!$G$5:$G$124,MATCH($B9,Productos!$A$5:$A$124,0)),0))</f>
        <v/>
      </c>
      <c r="L9" s="71">
        <f>IF($K9=0,0,$K9*Inicio!$C$25/365*Inicio!$C$22)</f>
        <v/>
      </c>
      <c r="M9" s="73">
        <f>IF($B9="","",IF(SUMIF($B$5:$B$304,$B9,$F$5:$F$304)=0,"",ROUND(SUMIF($B$5:$B$304,$B9,$E$5:$E$304)/(SUMIF($B$5:$B$304,$B9,$F$5:$F$304)/Inicio!$C$22),0)))</f>
        <v/>
      </c>
      <c r="N9" s="74">
        <f>IF($B9="","",IF(AND($E9&lt;=0,$F9&gt;0),"QUIEBRE",IF(AND($F9=0,$E9&gt;0),"SIN ROTACIÓN",IF($J9="","",IF($J9&lt;Inicio!$C$23,"RIESGO DE QUIEBRE",IF($J9&gt;Inicio!$C$24*1.5,"EXCESO","SANO"))))))</f>
        <v/>
      </c>
      <c r="O9" s="74">
        <f>IF($M9="","",IF($J9="","",IF($J9&gt;2*$M9,"ENVIAR a otra tienda",IF($J9&lt;0.5*$M9,"PEDIR traslado","—"))))</f>
        <v/>
      </c>
    </row>
    <row r="10" ht="15" customHeight="1" s="47">
      <c r="A10" s="182" t="inlineStr">
        <is>
          <t>T01</t>
        </is>
      </c>
      <c r="B10" s="182" t="inlineStr">
        <is>
          <t>EL-006</t>
        </is>
      </c>
      <c r="C10" s="59">
        <f>IFERROR(INDEX(Productos!$B$5:$B$124,MATCH($B10,Productos!$A$5:$A$124,0)),"")</f>
        <v/>
      </c>
      <c r="D10" s="59">
        <f>IFERROR(INDEX(Productos!$D$5:$D$124,MATCH($B10,Productos!$A$5:$A$124,0)),"")</f>
        <v/>
      </c>
      <c r="E10" s="186" t="n">
        <v>18</v>
      </c>
      <c r="F10" s="70">
        <f>IF($B10="",0,SUMIFS(Ventas!$F$5:$F$504,Ventas!$B$5:$B$504,$A10,Ventas!$C$5:$C$504,$B10))</f>
        <v/>
      </c>
      <c r="G10" s="71">
        <f>IF($B10="",0,SUMIFS(Ventas!$L$5:$L$504,Ventas!$B$5:$B$504,$A10,Ventas!$C$5:$C$504,$B10))</f>
        <v/>
      </c>
      <c r="H10" s="71">
        <f>IF($B10="",0,SUMIFS(Ventas!$P$5:$P$504,Ventas!$B$5:$B$504,$A10,Ventas!$C$5:$C$504,$B10))</f>
        <v/>
      </c>
      <c r="I10" s="72">
        <f>IF($F10=0,0,$F10/Inicio!$C$22)</f>
        <v/>
      </c>
      <c r="J10" s="73">
        <f>IF($I10=0,"",ROUND($E10/$I10,0))</f>
        <v/>
      </c>
      <c r="K10" s="71">
        <f>IF($B10="",0,$E10*IFERROR(INDEX(Productos!$G$5:$G$124,MATCH($B10,Productos!$A$5:$A$124,0)),0))</f>
        <v/>
      </c>
      <c r="L10" s="71">
        <f>IF($K10=0,0,$K10*Inicio!$C$25/365*Inicio!$C$22)</f>
        <v/>
      </c>
      <c r="M10" s="73">
        <f>IF($B10="","",IF(SUMIF($B$5:$B$304,$B10,$F$5:$F$304)=0,"",ROUND(SUMIF($B$5:$B$304,$B10,$E$5:$E$304)/(SUMIF($B$5:$B$304,$B10,$F$5:$F$304)/Inicio!$C$22),0)))</f>
        <v/>
      </c>
      <c r="N10" s="74">
        <f>IF($B10="","",IF(AND($E10&lt;=0,$F10&gt;0),"QUIEBRE",IF(AND($F10=0,$E10&gt;0),"SIN ROTACIÓN",IF($J10="","",IF($J10&lt;Inicio!$C$23,"RIESGO DE QUIEBRE",IF($J10&gt;Inicio!$C$24*1.5,"EXCESO","SANO"))))))</f>
        <v/>
      </c>
      <c r="O10" s="74">
        <f>IF($M10="","",IF($J10="","",IF($J10&gt;2*$M10,"ENVIAR a otra tienda",IF($J10&lt;0.5*$M10,"PEDIR traslado","—"))))</f>
        <v/>
      </c>
    </row>
    <row r="11" ht="15" customHeight="1" s="47">
      <c r="A11" s="182" t="inlineStr">
        <is>
          <t>T01</t>
        </is>
      </c>
      <c r="B11" s="182" t="inlineStr">
        <is>
          <t>EL-007</t>
        </is>
      </c>
      <c r="C11" s="59">
        <f>IFERROR(INDEX(Productos!$B$5:$B$124,MATCH($B11,Productos!$A$5:$A$124,0)),"")</f>
        <v/>
      </c>
      <c r="D11" s="59">
        <f>IFERROR(INDEX(Productos!$D$5:$D$124,MATCH($B11,Productos!$A$5:$A$124,0)),"")</f>
        <v/>
      </c>
      <c r="E11" s="186" t="n">
        <v>3</v>
      </c>
      <c r="F11" s="70">
        <f>IF($B11="",0,SUMIFS(Ventas!$F$5:$F$504,Ventas!$B$5:$B$504,$A11,Ventas!$C$5:$C$504,$B11))</f>
        <v/>
      </c>
      <c r="G11" s="71">
        <f>IF($B11="",0,SUMIFS(Ventas!$L$5:$L$504,Ventas!$B$5:$B$504,$A11,Ventas!$C$5:$C$504,$B11))</f>
        <v/>
      </c>
      <c r="H11" s="71">
        <f>IF($B11="",0,SUMIFS(Ventas!$P$5:$P$504,Ventas!$B$5:$B$504,$A11,Ventas!$C$5:$C$504,$B11))</f>
        <v/>
      </c>
      <c r="I11" s="72">
        <f>IF($F11=0,0,$F11/Inicio!$C$22)</f>
        <v/>
      </c>
      <c r="J11" s="73">
        <f>IF($I11=0,"",ROUND($E11/$I11,0))</f>
        <v/>
      </c>
      <c r="K11" s="71">
        <f>IF($B11="",0,$E11*IFERROR(INDEX(Productos!$G$5:$G$124,MATCH($B11,Productos!$A$5:$A$124,0)),0))</f>
        <v/>
      </c>
      <c r="L11" s="71">
        <f>IF($K11=0,0,$K11*Inicio!$C$25/365*Inicio!$C$22)</f>
        <v/>
      </c>
      <c r="M11" s="73">
        <f>IF($B11="","",IF(SUMIF($B$5:$B$304,$B11,$F$5:$F$304)=0,"",ROUND(SUMIF($B$5:$B$304,$B11,$E$5:$E$304)/(SUMIF($B$5:$B$304,$B11,$F$5:$F$304)/Inicio!$C$22),0)))</f>
        <v/>
      </c>
      <c r="N11" s="74">
        <f>IF($B11="","",IF(AND($E11&lt;=0,$F11&gt;0),"QUIEBRE",IF(AND($F11=0,$E11&gt;0),"SIN ROTACIÓN",IF($J11="","",IF($J11&lt;Inicio!$C$23,"RIESGO DE QUIEBRE",IF($J11&gt;Inicio!$C$24*1.5,"EXCESO","SANO"))))))</f>
        <v/>
      </c>
      <c r="O11" s="74">
        <f>IF($M11="","",IF($J11="","",IF($J11&gt;2*$M11,"ENVIAR a otra tienda",IF($J11&lt;0.5*$M11,"PEDIR traslado","—"))))</f>
        <v/>
      </c>
    </row>
    <row r="12" ht="15" customHeight="1" s="47">
      <c r="A12" s="182" t="inlineStr">
        <is>
          <t>T01</t>
        </is>
      </c>
      <c r="B12" s="182" t="inlineStr">
        <is>
          <t>EL-008</t>
        </is>
      </c>
      <c r="C12" s="59">
        <f>IFERROR(INDEX(Productos!$B$5:$B$124,MATCH($B12,Productos!$A$5:$A$124,0)),"")</f>
        <v/>
      </c>
      <c r="D12" s="59">
        <f>IFERROR(INDEX(Productos!$D$5:$D$124,MATCH($B12,Productos!$A$5:$A$124,0)),"")</f>
        <v/>
      </c>
      <c r="E12" s="186" t="n">
        <v>5</v>
      </c>
      <c r="F12" s="70">
        <f>IF($B12="",0,SUMIFS(Ventas!$F$5:$F$504,Ventas!$B$5:$B$504,$A12,Ventas!$C$5:$C$504,$B12))</f>
        <v/>
      </c>
      <c r="G12" s="71">
        <f>IF($B12="",0,SUMIFS(Ventas!$L$5:$L$504,Ventas!$B$5:$B$504,$A12,Ventas!$C$5:$C$504,$B12))</f>
        <v/>
      </c>
      <c r="H12" s="71">
        <f>IF($B12="",0,SUMIFS(Ventas!$P$5:$P$504,Ventas!$B$5:$B$504,$A12,Ventas!$C$5:$C$504,$B12))</f>
        <v/>
      </c>
      <c r="I12" s="72">
        <f>IF($F12=0,0,$F12/Inicio!$C$22)</f>
        <v/>
      </c>
      <c r="J12" s="73">
        <f>IF($I12=0,"",ROUND($E12/$I12,0))</f>
        <v/>
      </c>
      <c r="K12" s="71">
        <f>IF($B12="",0,$E12*IFERROR(INDEX(Productos!$G$5:$G$124,MATCH($B12,Productos!$A$5:$A$124,0)),0))</f>
        <v/>
      </c>
      <c r="L12" s="71">
        <f>IF($K12=0,0,$K12*Inicio!$C$25/365*Inicio!$C$22)</f>
        <v/>
      </c>
      <c r="M12" s="73">
        <f>IF($B12="","",IF(SUMIF($B$5:$B$304,$B12,$F$5:$F$304)=0,"",ROUND(SUMIF($B$5:$B$304,$B12,$E$5:$E$304)/(SUMIF($B$5:$B$304,$B12,$F$5:$F$304)/Inicio!$C$22),0)))</f>
        <v/>
      </c>
      <c r="N12" s="74">
        <f>IF($B12="","",IF(AND($E12&lt;=0,$F12&gt;0),"QUIEBRE",IF(AND($F12=0,$E12&gt;0),"SIN ROTACIÓN",IF($J12="","",IF($J12&lt;Inicio!$C$23,"RIESGO DE QUIEBRE",IF($J12&gt;Inicio!$C$24*1.5,"EXCESO","SANO"))))))</f>
        <v/>
      </c>
      <c r="O12" s="74">
        <f>IF($M12="","",IF($J12="","",IF($J12&gt;2*$M12,"ENVIAR a otra tienda",IF($J12&lt;0.5*$M12,"PEDIR traslado","—"))))</f>
        <v/>
      </c>
    </row>
    <row r="13" ht="15" customHeight="1" s="47">
      <c r="A13" s="182" t="inlineStr">
        <is>
          <t>T01</t>
        </is>
      </c>
      <c r="B13" s="182" t="inlineStr">
        <is>
          <t>EL-009</t>
        </is>
      </c>
      <c r="C13" s="59">
        <f>IFERROR(INDEX(Productos!$B$5:$B$124,MATCH($B13,Productos!$A$5:$A$124,0)),"")</f>
        <v/>
      </c>
      <c r="D13" s="59">
        <f>IFERROR(INDEX(Productos!$D$5:$D$124,MATCH($B13,Productos!$A$5:$A$124,0)),"")</f>
        <v/>
      </c>
      <c r="E13" s="186" t="n">
        <v>7</v>
      </c>
      <c r="F13" s="70">
        <f>IF($B13="",0,SUMIFS(Ventas!$F$5:$F$504,Ventas!$B$5:$B$504,$A13,Ventas!$C$5:$C$504,$B13))</f>
        <v/>
      </c>
      <c r="G13" s="71">
        <f>IF($B13="",0,SUMIFS(Ventas!$L$5:$L$504,Ventas!$B$5:$B$504,$A13,Ventas!$C$5:$C$504,$B13))</f>
        <v/>
      </c>
      <c r="H13" s="71">
        <f>IF($B13="",0,SUMIFS(Ventas!$P$5:$P$504,Ventas!$B$5:$B$504,$A13,Ventas!$C$5:$C$504,$B13))</f>
        <v/>
      </c>
      <c r="I13" s="72">
        <f>IF($F13=0,0,$F13/Inicio!$C$22)</f>
        <v/>
      </c>
      <c r="J13" s="73">
        <f>IF($I13=0,"",ROUND($E13/$I13,0))</f>
        <v/>
      </c>
      <c r="K13" s="71">
        <f>IF($B13="",0,$E13*IFERROR(INDEX(Productos!$G$5:$G$124,MATCH($B13,Productos!$A$5:$A$124,0)),0))</f>
        <v/>
      </c>
      <c r="L13" s="71">
        <f>IF($K13=0,0,$K13*Inicio!$C$25/365*Inicio!$C$22)</f>
        <v/>
      </c>
      <c r="M13" s="73">
        <f>IF($B13="","",IF(SUMIF($B$5:$B$304,$B13,$F$5:$F$304)=0,"",ROUND(SUMIF($B$5:$B$304,$B13,$E$5:$E$304)/(SUMIF($B$5:$B$304,$B13,$F$5:$F$304)/Inicio!$C$22),0)))</f>
        <v/>
      </c>
      <c r="N13" s="74">
        <f>IF($B13="","",IF(AND($E13&lt;=0,$F13&gt;0),"QUIEBRE",IF(AND($F13=0,$E13&gt;0),"SIN ROTACIÓN",IF($J13="","",IF($J13&lt;Inicio!$C$23,"RIESGO DE QUIEBRE",IF($J13&gt;Inicio!$C$24*1.5,"EXCESO","SANO"))))))</f>
        <v/>
      </c>
      <c r="O13" s="74">
        <f>IF($M13="","",IF($J13="","",IF($J13&gt;2*$M13,"ENVIAR a otra tienda",IF($J13&lt;0.5*$M13,"PEDIR traslado","—"))))</f>
        <v/>
      </c>
    </row>
    <row r="14" ht="15" customHeight="1" s="47">
      <c r="A14" s="182" t="inlineStr">
        <is>
          <t>T01</t>
        </is>
      </c>
      <c r="B14" s="182" t="inlineStr">
        <is>
          <t>EL-010</t>
        </is>
      </c>
      <c r="C14" s="59">
        <f>IFERROR(INDEX(Productos!$B$5:$B$124,MATCH($B14,Productos!$A$5:$A$124,0)),"")</f>
        <v/>
      </c>
      <c r="D14" s="59">
        <f>IFERROR(INDEX(Productos!$D$5:$D$124,MATCH($B14,Productos!$A$5:$A$124,0)),"")</f>
        <v/>
      </c>
      <c r="E14" s="186" t="n">
        <v>0</v>
      </c>
      <c r="F14" s="70">
        <f>IF($B14="",0,SUMIFS(Ventas!$F$5:$F$504,Ventas!$B$5:$B$504,$A14,Ventas!$C$5:$C$504,$B14))</f>
        <v/>
      </c>
      <c r="G14" s="71">
        <f>IF($B14="",0,SUMIFS(Ventas!$L$5:$L$504,Ventas!$B$5:$B$504,$A14,Ventas!$C$5:$C$504,$B14))</f>
        <v/>
      </c>
      <c r="H14" s="71">
        <f>IF($B14="",0,SUMIFS(Ventas!$P$5:$P$504,Ventas!$B$5:$B$504,$A14,Ventas!$C$5:$C$504,$B14))</f>
        <v/>
      </c>
      <c r="I14" s="72">
        <f>IF($F14=0,0,$F14/Inicio!$C$22)</f>
        <v/>
      </c>
      <c r="J14" s="73">
        <f>IF($I14=0,"",ROUND($E14/$I14,0))</f>
        <v/>
      </c>
      <c r="K14" s="71">
        <f>IF($B14="",0,$E14*IFERROR(INDEX(Productos!$G$5:$G$124,MATCH($B14,Productos!$A$5:$A$124,0)),0))</f>
        <v/>
      </c>
      <c r="L14" s="71">
        <f>IF($K14=0,0,$K14*Inicio!$C$25/365*Inicio!$C$22)</f>
        <v/>
      </c>
      <c r="M14" s="73">
        <f>IF($B14="","",IF(SUMIF($B$5:$B$304,$B14,$F$5:$F$304)=0,"",ROUND(SUMIF($B$5:$B$304,$B14,$E$5:$E$304)/(SUMIF($B$5:$B$304,$B14,$F$5:$F$304)/Inicio!$C$22),0)))</f>
        <v/>
      </c>
      <c r="N14" s="74">
        <f>IF($B14="","",IF(AND($E14&lt;=0,$F14&gt;0),"QUIEBRE",IF(AND($F14=0,$E14&gt;0),"SIN ROTACIÓN",IF($J14="","",IF($J14&lt;Inicio!$C$23,"RIESGO DE QUIEBRE",IF($J14&gt;Inicio!$C$24*1.5,"EXCESO","SANO"))))))</f>
        <v/>
      </c>
      <c r="O14" s="74">
        <f>IF($M14="","",IF($J14="","",IF($J14&gt;2*$M14,"ENVIAR a otra tienda",IF($J14&lt;0.5*$M14,"PEDIR traslado","—"))))</f>
        <v/>
      </c>
    </row>
    <row r="15" ht="15" customHeight="1" s="47">
      <c r="A15" s="182" t="inlineStr">
        <is>
          <t>T01</t>
        </is>
      </c>
      <c r="B15" s="182" t="inlineStr">
        <is>
          <t>EL-011</t>
        </is>
      </c>
      <c r="C15" s="59">
        <f>IFERROR(INDEX(Productos!$B$5:$B$124,MATCH($B15,Productos!$A$5:$A$124,0)),"")</f>
        <v/>
      </c>
      <c r="D15" s="59">
        <f>IFERROR(INDEX(Productos!$D$5:$D$124,MATCH($B15,Productos!$A$5:$A$124,0)),"")</f>
        <v/>
      </c>
      <c r="E15" s="186" t="n">
        <v>3</v>
      </c>
      <c r="F15" s="70">
        <f>IF($B15="",0,SUMIFS(Ventas!$F$5:$F$504,Ventas!$B$5:$B$504,$A15,Ventas!$C$5:$C$504,$B15))</f>
        <v/>
      </c>
      <c r="G15" s="71">
        <f>IF($B15="",0,SUMIFS(Ventas!$L$5:$L$504,Ventas!$B$5:$B$504,$A15,Ventas!$C$5:$C$504,$B15))</f>
        <v/>
      </c>
      <c r="H15" s="71">
        <f>IF($B15="",0,SUMIFS(Ventas!$P$5:$P$504,Ventas!$B$5:$B$504,$A15,Ventas!$C$5:$C$504,$B15))</f>
        <v/>
      </c>
      <c r="I15" s="72">
        <f>IF($F15=0,0,$F15/Inicio!$C$22)</f>
        <v/>
      </c>
      <c r="J15" s="73">
        <f>IF($I15=0,"",ROUND($E15/$I15,0))</f>
        <v/>
      </c>
      <c r="K15" s="71">
        <f>IF($B15="",0,$E15*IFERROR(INDEX(Productos!$G$5:$G$124,MATCH($B15,Productos!$A$5:$A$124,0)),0))</f>
        <v/>
      </c>
      <c r="L15" s="71">
        <f>IF($K15=0,0,$K15*Inicio!$C$25/365*Inicio!$C$22)</f>
        <v/>
      </c>
      <c r="M15" s="73">
        <f>IF($B15="","",IF(SUMIF($B$5:$B$304,$B15,$F$5:$F$304)=0,"",ROUND(SUMIF($B$5:$B$304,$B15,$E$5:$E$304)/(SUMIF($B$5:$B$304,$B15,$F$5:$F$304)/Inicio!$C$22),0)))</f>
        <v/>
      </c>
      <c r="N15" s="74">
        <f>IF($B15="","",IF(AND($E15&lt;=0,$F15&gt;0),"QUIEBRE",IF(AND($F15=0,$E15&gt;0),"SIN ROTACIÓN",IF($J15="","",IF($J15&lt;Inicio!$C$23,"RIESGO DE QUIEBRE",IF($J15&gt;Inicio!$C$24*1.5,"EXCESO","SANO"))))))</f>
        <v/>
      </c>
      <c r="O15" s="74">
        <f>IF($M15="","",IF($J15="","",IF($J15&gt;2*$M15,"ENVIAR a otra tienda",IF($J15&lt;0.5*$M15,"PEDIR traslado","—"))))</f>
        <v/>
      </c>
    </row>
    <row r="16" ht="15" customHeight="1" s="47">
      <c r="A16" s="182" t="inlineStr">
        <is>
          <t>T01</t>
        </is>
      </c>
      <c r="B16" s="182" t="inlineStr">
        <is>
          <t>EL-012</t>
        </is>
      </c>
      <c r="C16" s="59">
        <f>IFERROR(INDEX(Productos!$B$5:$B$124,MATCH($B16,Productos!$A$5:$A$124,0)),"")</f>
        <v/>
      </c>
      <c r="D16" s="59">
        <f>IFERROR(INDEX(Productos!$D$5:$D$124,MATCH($B16,Productos!$A$5:$A$124,0)),"")</f>
        <v/>
      </c>
      <c r="E16" s="186" t="n">
        <v>3</v>
      </c>
      <c r="F16" s="70">
        <f>IF($B16="",0,SUMIFS(Ventas!$F$5:$F$504,Ventas!$B$5:$B$504,$A16,Ventas!$C$5:$C$504,$B16))</f>
        <v/>
      </c>
      <c r="G16" s="71">
        <f>IF($B16="",0,SUMIFS(Ventas!$L$5:$L$504,Ventas!$B$5:$B$504,$A16,Ventas!$C$5:$C$504,$B16))</f>
        <v/>
      </c>
      <c r="H16" s="71">
        <f>IF($B16="",0,SUMIFS(Ventas!$P$5:$P$504,Ventas!$B$5:$B$504,$A16,Ventas!$C$5:$C$504,$B16))</f>
        <v/>
      </c>
      <c r="I16" s="72">
        <f>IF($F16=0,0,$F16/Inicio!$C$22)</f>
        <v/>
      </c>
      <c r="J16" s="73">
        <f>IF($I16=0,"",ROUND($E16/$I16,0))</f>
        <v/>
      </c>
      <c r="K16" s="71">
        <f>IF($B16="",0,$E16*IFERROR(INDEX(Productos!$G$5:$G$124,MATCH($B16,Productos!$A$5:$A$124,0)),0))</f>
        <v/>
      </c>
      <c r="L16" s="71">
        <f>IF($K16=0,0,$K16*Inicio!$C$25/365*Inicio!$C$22)</f>
        <v/>
      </c>
      <c r="M16" s="73">
        <f>IF($B16="","",IF(SUMIF($B$5:$B$304,$B16,$F$5:$F$304)=0,"",ROUND(SUMIF($B$5:$B$304,$B16,$E$5:$E$304)/(SUMIF($B$5:$B$304,$B16,$F$5:$F$304)/Inicio!$C$22),0)))</f>
        <v/>
      </c>
      <c r="N16" s="74">
        <f>IF($B16="","",IF(AND($E16&lt;=0,$F16&gt;0),"QUIEBRE",IF(AND($F16=0,$E16&gt;0),"SIN ROTACIÓN",IF($J16="","",IF($J16&lt;Inicio!$C$23,"RIESGO DE QUIEBRE",IF($J16&gt;Inicio!$C$24*1.5,"EXCESO","SANO"))))))</f>
        <v/>
      </c>
      <c r="O16" s="74">
        <f>IF($M16="","",IF($J16="","",IF($J16&gt;2*$M16,"ENVIAR a otra tienda",IF($J16&lt;0.5*$M16,"PEDIR traslado","—"))))</f>
        <v/>
      </c>
    </row>
    <row r="17" ht="15" customHeight="1" s="47">
      <c r="A17" s="182" t="inlineStr">
        <is>
          <t>T01</t>
        </is>
      </c>
      <c r="B17" s="182" t="inlineStr">
        <is>
          <t>EL-013</t>
        </is>
      </c>
      <c r="C17" s="59">
        <f>IFERROR(INDEX(Productos!$B$5:$B$124,MATCH($B17,Productos!$A$5:$A$124,0)),"")</f>
        <v/>
      </c>
      <c r="D17" s="59">
        <f>IFERROR(INDEX(Productos!$D$5:$D$124,MATCH($B17,Productos!$A$5:$A$124,0)),"")</f>
        <v/>
      </c>
      <c r="E17" s="186" t="n">
        <v>8</v>
      </c>
      <c r="F17" s="70">
        <f>IF($B17="",0,SUMIFS(Ventas!$F$5:$F$504,Ventas!$B$5:$B$504,$A17,Ventas!$C$5:$C$504,$B17))</f>
        <v/>
      </c>
      <c r="G17" s="71">
        <f>IF($B17="",0,SUMIFS(Ventas!$L$5:$L$504,Ventas!$B$5:$B$504,$A17,Ventas!$C$5:$C$504,$B17))</f>
        <v/>
      </c>
      <c r="H17" s="71">
        <f>IF($B17="",0,SUMIFS(Ventas!$P$5:$P$504,Ventas!$B$5:$B$504,$A17,Ventas!$C$5:$C$504,$B17))</f>
        <v/>
      </c>
      <c r="I17" s="72">
        <f>IF($F17=0,0,$F17/Inicio!$C$22)</f>
        <v/>
      </c>
      <c r="J17" s="73">
        <f>IF($I17=0,"",ROUND($E17/$I17,0))</f>
        <v/>
      </c>
      <c r="K17" s="71">
        <f>IF($B17="",0,$E17*IFERROR(INDEX(Productos!$G$5:$G$124,MATCH($B17,Productos!$A$5:$A$124,0)),0))</f>
        <v/>
      </c>
      <c r="L17" s="71">
        <f>IF($K17=0,0,$K17*Inicio!$C$25/365*Inicio!$C$22)</f>
        <v/>
      </c>
      <c r="M17" s="73">
        <f>IF($B17="","",IF(SUMIF($B$5:$B$304,$B17,$F$5:$F$304)=0,"",ROUND(SUMIF($B$5:$B$304,$B17,$E$5:$E$304)/(SUMIF($B$5:$B$304,$B17,$F$5:$F$304)/Inicio!$C$22),0)))</f>
        <v/>
      </c>
      <c r="N17" s="74">
        <f>IF($B17="","",IF(AND($E17&lt;=0,$F17&gt;0),"QUIEBRE",IF(AND($F17=0,$E17&gt;0),"SIN ROTACIÓN",IF($J17="","",IF($J17&lt;Inicio!$C$23,"RIESGO DE QUIEBRE",IF($J17&gt;Inicio!$C$24*1.5,"EXCESO","SANO"))))))</f>
        <v/>
      </c>
      <c r="O17" s="74">
        <f>IF($M17="","",IF($J17="","",IF($J17&gt;2*$M17,"ENVIAR a otra tienda",IF($J17&lt;0.5*$M17,"PEDIR traslado","—"))))</f>
        <v/>
      </c>
    </row>
    <row r="18" ht="15" customHeight="1" s="47">
      <c r="A18" s="182" t="inlineStr">
        <is>
          <t>T01</t>
        </is>
      </c>
      <c r="B18" s="182" t="inlineStr">
        <is>
          <t>EL-014</t>
        </is>
      </c>
      <c r="C18" s="59">
        <f>IFERROR(INDEX(Productos!$B$5:$B$124,MATCH($B18,Productos!$A$5:$A$124,0)),"")</f>
        <v/>
      </c>
      <c r="D18" s="59">
        <f>IFERROR(INDEX(Productos!$D$5:$D$124,MATCH($B18,Productos!$A$5:$A$124,0)),"")</f>
        <v/>
      </c>
      <c r="E18" s="186" t="n">
        <v>2</v>
      </c>
      <c r="F18" s="70">
        <f>IF($B18="",0,SUMIFS(Ventas!$F$5:$F$504,Ventas!$B$5:$B$504,$A18,Ventas!$C$5:$C$504,$B18))</f>
        <v/>
      </c>
      <c r="G18" s="71">
        <f>IF($B18="",0,SUMIFS(Ventas!$L$5:$L$504,Ventas!$B$5:$B$504,$A18,Ventas!$C$5:$C$504,$B18))</f>
        <v/>
      </c>
      <c r="H18" s="71">
        <f>IF($B18="",0,SUMIFS(Ventas!$P$5:$P$504,Ventas!$B$5:$B$504,$A18,Ventas!$C$5:$C$504,$B18))</f>
        <v/>
      </c>
      <c r="I18" s="72">
        <f>IF($F18=0,0,$F18/Inicio!$C$22)</f>
        <v/>
      </c>
      <c r="J18" s="73">
        <f>IF($I18=0,"",ROUND($E18/$I18,0))</f>
        <v/>
      </c>
      <c r="K18" s="71">
        <f>IF($B18="",0,$E18*IFERROR(INDEX(Productos!$G$5:$G$124,MATCH($B18,Productos!$A$5:$A$124,0)),0))</f>
        <v/>
      </c>
      <c r="L18" s="71">
        <f>IF($K18=0,0,$K18*Inicio!$C$25/365*Inicio!$C$22)</f>
        <v/>
      </c>
      <c r="M18" s="73">
        <f>IF($B18="","",IF(SUMIF($B$5:$B$304,$B18,$F$5:$F$304)=0,"",ROUND(SUMIF($B$5:$B$304,$B18,$E$5:$E$304)/(SUMIF($B$5:$B$304,$B18,$F$5:$F$304)/Inicio!$C$22),0)))</f>
        <v/>
      </c>
      <c r="N18" s="74">
        <f>IF($B18="","",IF(AND($E18&lt;=0,$F18&gt;0),"QUIEBRE",IF(AND($F18=0,$E18&gt;0),"SIN ROTACIÓN",IF($J18="","",IF($J18&lt;Inicio!$C$23,"RIESGO DE QUIEBRE",IF($J18&gt;Inicio!$C$24*1.5,"EXCESO","SANO"))))))</f>
        <v/>
      </c>
      <c r="O18" s="74">
        <f>IF($M18="","",IF($J18="","",IF($J18&gt;2*$M18,"ENVIAR a otra tienda",IF($J18&lt;0.5*$M18,"PEDIR traslado","—"))))</f>
        <v/>
      </c>
    </row>
    <row r="19" ht="15" customHeight="1" s="47">
      <c r="A19" s="182" t="inlineStr">
        <is>
          <t>T01</t>
        </is>
      </c>
      <c r="B19" s="182" t="inlineStr">
        <is>
          <t>EL-015</t>
        </is>
      </c>
      <c r="C19" s="59">
        <f>IFERROR(INDEX(Productos!$B$5:$B$124,MATCH($B19,Productos!$A$5:$A$124,0)),"")</f>
        <v/>
      </c>
      <c r="D19" s="59">
        <f>IFERROR(INDEX(Productos!$D$5:$D$124,MATCH($B19,Productos!$A$5:$A$124,0)),"")</f>
        <v/>
      </c>
      <c r="E19" s="186" t="n">
        <v>1</v>
      </c>
      <c r="F19" s="70">
        <f>IF($B19="",0,SUMIFS(Ventas!$F$5:$F$504,Ventas!$B$5:$B$504,$A19,Ventas!$C$5:$C$504,$B19))</f>
        <v/>
      </c>
      <c r="G19" s="71">
        <f>IF($B19="",0,SUMIFS(Ventas!$L$5:$L$504,Ventas!$B$5:$B$504,$A19,Ventas!$C$5:$C$504,$B19))</f>
        <v/>
      </c>
      <c r="H19" s="71">
        <f>IF($B19="",0,SUMIFS(Ventas!$P$5:$P$504,Ventas!$B$5:$B$504,$A19,Ventas!$C$5:$C$504,$B19))</f>
        <v/>
      </c>
      <c r="I19" s="72">
        <f>IF($F19=0,0,$F19/Inicio!$C$22)</f>
        <v/>
      </c>
      <c r="J19" s="73">
        <f>IF($I19=0,"",ROUND($E19/$I19,0))</f>
        <v/>
      </c>
      <c r="K19" s="71">
        <f>IF($B19="",0,$E19*IFERROR(INDEX(Productos!$G$5:$G$124,MATCH($B19,Productos!$A$5:$A$124,0)),0))</f>
        <v/>
      </c>
      <c r="L19" s="71">
        <f>IF($K19=0,0,$K19*Inicio!$C$25/365*Inicio!$C$22)</f>
        <v/>
      </c>
      <c r="M19" s="73">
        <f>IF($B19="","",IF(SUMIF($B$5:$B$304,$B19,$F$5:$F$304)=0,"",ROUND(SUMIF($B$5:$B$304,$B19,$E$5:$E$304)/(SUMIF($B$5:$B$304,$B19,$F$5:$F$304)/Inicio!$C$22),0)))</f>
        <v/>
      </c>
      <c r="N19" s="74">
        <f>IF($B19="","",IF(AND($E19&lt;=0,$F19&gt;0),"QUIEBRE",IF(AND($F19=0,$E19&gt;0),"SIN ROTACIÓN",IF($J19="","",IF($J19&lt;Inicio!$C$23,"RIESGO DE QUIEBRE",IF($J19&gt;Inicio!$C$24*1.5,"EXCESO","SANO"))))))</f>
        <v/>
      </c>
      <c r="O19" s="74">
        <f>IF($M19="","",IF($J19="","",IF($J19&gt;2*$M19,"ENVIAR a otra tienda",IF($J19&lt;0.5*$M19,"PEDIR traslado","—"))))</f>
        <v/>
      </c>
    </row>
    <row r="20" ht="15" customHeight="1" s="47">
      <c r="A20" s="182" t="inlineStr">
        <is>
          <t>T01</t>
        </is>
      </c>
      <c r="B20" s="182" t="inlineStr">
        <is>
          <t>EL-016</t>
        </is>
      </c>
      <c r="C20" s="59">
        <f>IFERROR(INDEX(Productos!$B$5:$B$124,MATCH($B20,Productos!$A$5:$A$124,0)),"")</f>
        <v/>
      </c>
      <c r="D20" s="59">
        <f>IFERROR(INDEX(Productos!$D$5:$D$124,MATCH($B20,Productos!$A$5:$A$124,0)),"")</f>
        <v/>
      </c>
      <c r="E20" s="186" t="n">
        <v>11</v>
      </c>
      <c r="F20" s="70">
        <f>IF($B20="",0,SUMIFS(Ventas!$F$5:$F$504,Ventas!$B$5:$B$504,$A20,Ventas!$C$5:$C$504,$B20))</f>
        <v/>
      </c>
      <c r="G20" s="71">
        <f>IF($B20="",0,SUMIFS(Ventas!$L$5:$L$504,Ventas!$B$5:$B$504,$A20,Ventas!$C$5:$C$504,$B20))</f>
        <v/>
      </c>
      <c r="H20" s="71">
        <f>IF($B20="",0,SUMIFS(Ventas!$P$5:$P$504,Ventas!$B$5:$B$504,$A20,Ventas!$C$5:$C$504,$B20))</f>
        <v/>
      </c>
      <c r="I20" s="72">
        <f>IF($F20=0,0,$F20/Inicio!$C$22)</f>
        <v/>
      </c>
      <c r="J20" s="73">
        <f>IF($I20=0,"",ROUND($E20/$I20,0))</f>
        <v/>
      </c>
      <c r="K20" s="71">
        <f>IF($B20="",0,$E20*IFERROR(INDEX(Productos!$G$5:$G$124,MATCH($B20,Productos!$A$5:$A$124,0)),0))</f>
        <v/>
      </c>
      <c r="L20" s="71">
        <f>IF($K20=0,0,$K20*Inicio!$C$25/365*Inicio!$C$22)</f>
        <v/>
      </c>
      <c r="M20" s="73">
        <f>IF($B20="","",IF(SUMIF($B$5:$B$304,$B20,$F$5:$F$304)=0,"",ROUND(SUMIF($B$5:$B$304,$B20,$E$5:$E$304)/(SUMIF($B$5:$B$304,$B20,$F$5:$F$304)/Inicio!$C$22),0)))</f>
        <v/>
      </c>
      <c r="N20" s="74">
        <f>IF($B20="","",IF(AND($E20&lt;=0,$F20&gt;0),"QUIEBRE",IF(AND($F20=0,$E20&gt;0),"SIN ROTACIÓN",IF($J20="","",IF($J20&lt;Inicio!$C$23,"RIESGO DE QUIEBRE",IF($J20&gt;Inicio!$C$24*1.5,"EXCESO","SANO"))))))</f>
        <v/>
      </c>
      <c r="O20" s="74">
        <f>IF($M20="","",IF($J20="","",IF($J20&gt;2*$M20,"ENVIAR a otra tienda",IF($J20&lt;0.5*$M20,"PEDIR traslado","—"))))</f>
        <v/>
      </c>
    </row>
    <row r="21" ht="15" customHeight="1" s="47">
      <c r="A21" s="182" t="inlineStr">
        <is>
          <t>T01</t>
        </is>
      </c>
      <c r="B21" s="182" t="inlineStr">
        <is>
          <t>EL-017</t>
        </is>
      </c>
      <c r="C21" s="59">
        <f>IFERROR(INDEX(Productos!$B$5:$B$124,MATCH($B21,Productos!$A$5:$A$124,0)),"")</f>
        <v/>
      </c>
      <c r="D21" s="59">
        <f>IFERROR(INDEX(Productos!$D$5:$D$124,MATCH($B21,Productos!$A$5:$A$124,0)),"")</f>
        <v/>
      </c>
      <c r="E21" s="186" t="n">
        <v>0</v>
      </c>
      <c r="F21" s="70">
        <f>IF($B21="",0,SUMIFS(Ventas!$F$5:$F$504,Ventas!$B$5:$B$504,$A21,Ventas!$C$5:$C$504,$B21))</f>
        <v/>
      </c>
      <c r="G21" s="71">
        <f>IF($B21="",0,SUMIFS(Ventas!$L$5:$L$504,Ventas!$B$5:$B$504,$A21,Ventas!$C$5:$C$504,$B21))</f>
        <v/>
      </c>
      <c r="H21" s="71">
        <f>IF($B21="",0,SUMIFS(Ventas!$P$5:$P$504,Ventas!$B$5:$B$504,$A21,Ventas!$C$5:$C$504,$B21))</f>
        <v/>
      </c>
      <c r="I21" s="72">
        <f>IF($F21=0,0,$F21/Inicio!$C$22)</f>
        <v/>
      </c>
      <c r="J21" s="73">
        <f>IF($I21=0,"",ROUND($E21/$I21,0))</f>
        <v/>
      </c>
      <c r="K21" s="71">
        <f>IF($B21="",0,$E21*IFERROR(INDEX(Productos!$G$5:$G$124,MATCH($B21,Productos!$A$5:$A$124,0)),0))</f>
        <v/>
      </c>
      <c r="L21" s="71">
        <f>IF($K21=0,0,$K21*Inicio!$C$25/365*Inicio!$C$22)</f>
        <v/>
      </c>
      <c r="M21" s="73">
        <f>IF($B21="","",IF(SUMIF($B$5:$B$304,$B21,$F$5:$F$304)=0,"",ROUND(SUMIF($B$5:$B$304,$B21,$E$5:$E$304)/(SUMIF($B$5:$B$304,$B21,$F$5:$F$304)/Inicio!$C$22),0)))</f>
        <v/>
      </c>
      <c r="N21" s="74">
        <f>IF($B21="","",IF(AND($E21&lt;=0,$F21&gt;0),"QUIEBRE",IF(AND($F21=0,$E21&gt;0),"SIN ROTACIÓN",IF($J21="","",IF($J21&lt;Inicio!$C$23,"RIESGO DE QUIEBRE",IF($J21&gt;Inicio!$C$24*1.5,"EXCESO","SANO"))))))</f>
        <v/>
      </c>
      <c r="O21" s="74">
        <f>IF($M21="","",IF($J21="","",IF($J21&gt;2*$M21,"ENVIAR a otra tienda",IF($J21&lt;0.5*$M21,"PEDIR traslado","—"))))</f>
        <v/>
      </c>
    </row>
    <row r="22" ht="15" customHeight="1" s="47">
      <c r="A22" s="182" t="inlineStr">
        <is>
          <t>T01</t>
        </is>
      </c>
      <c r="B22" s="182" t="inlineStr">
        <is>
          <t>EL-018</t>
        </is>
      </c>
      <c r="C22" s="59">
        <f>IFERROR(INDEX(Productos!$B$5:$B$124,MATCH($B22,Productos!$A$5:$A$124,0)),"")</f>
        <v/>
      </c>
      <c r="D22" s="59">
        <f>IFERROR(INDEX(Productos!$D$5:$D$124,MATCH($B22,Productos!$A$5:$A$124,0)),"")</f>
        <v/>
      </c>
      <c r="E22" s="186" t="n">
        <v>13</v>
      </c>
      <c r="F22" s="70">
        <f>IF($B22="",0,SUMIFS(Ventas!$F$5:$F$504,Ventas!$B$5:$B$504,$A22,Ventas!$C$5:$C$504,$B22))</f>
        <v/>
      </c>
      <c r="G22" s="71">
        <f>IF($B22="",0,SUMIFS(Ventas!$L$5:$L$504,Ventas!$B$5:$B$504,$A22,Ventas!$C$5:$C$504,$B22))</f>
        <v/>
      </c>
      <c r="H22" s="71">
        <f>IF($B22="",0,SUMIFS(Ventas!$P$5:$P$504,Ventas!$B$5:$B$504,$A22,Ventas!$C$5:$C$504,$B22))</f>
        <v/>
      </c>
      <c r="I22" s="72">
        <f>IF($F22=0,0,$F22/Inicio!$C$22)</f>
        <v/>
      </c>
      <c r="J22" s="73">
        <f>IF($I22=0,"",ROUND($E22/$I22,0))</f>
        <v/>
      </c>
      <c r="K22" s="71">
        <f>IF($B22="",0,$E22*IFERROR(INDEX(Productos!$G$5:$G$124,MATCH($B22,Productos!$A$5:$A$124,0)),0))</f>
        <v/>
      </c>
      <c r="L22" s="71">
        <f>IF($K22=0,0,$K22*Inicio!$C$25/365*Inicio!$C$22)</f>
        <v/>
      </c>
      <c r="M22" s="73">
        <f>IF($B22="","",IF(SUMIF($B$5:$B$304,$B22,$F$5:$F$304)=0,"",ROUND(SUMIF($B$5:$B$304,$B22,$E$5:$E$304)/(SUMIF($B$5:$B$304,$B22,$F$5:$F$304)/Inicio!$C$22),0)))</f>
        <v/>
      </c>
      <c r="N22" s="74">
        <f>IF($B22="","",IF(AND($E22&lt;=0,$F22&gt;0),"QUIEBRE",IF(AND($F22=0,$E22&gt;0),"SIN ROTACIÓN",IF($J22="","",IF($J22&lt;Inicio!$C$23,"RIESGO DE QUIEBRE",IF($J22&gt;Inicio!$C$24*1.5,"EXCESO","SANO"))))))</f>
        <v/>
      </c>
      <c r="O22" s="74">
        <f>IF($M22="","",IF($J22="","",IF($J22&gt;2*$M22,"ENVIAR a otra tienda",IF($J22&lt;0.5*$M22,"PEDIR traslado","—"))))</f>
        <v/>
      </c>
    </row>
    <row r="23" ht="15" customHeight="1" s="47">
      <c r="A23" s="182" t="inlineStr">
        <is>
          <t>T01</t>
        </is>
      </c>
      <c r="B23" s="182" t="inlineStr">
        <is>
          <t>EL-019</t>
        </is>
      </c>
      <c r="C23" s="59">
        <f>IFERROR(INDEX(Productos!$B$5:$B$124,MATCH($B23,Productos!$A$5:$A$124,0)),"")</f>
        <v/>
      </c>
      <c r="D23" s="59">
        <f>IFERROR(INDEX(Productos!$D$5:$D$124,MATCH($B23,Productos!$A$5:$A$124,0)),"")</f>
        <v/>
      </c>
      <c r="E23" s="186" t="n">
        <v>20</v>
      </c>
      <c r="F23" s="70">
        <f>IF($B23="",0,SUMIFS(Ventas!$F$5:$F$504,Ventas!$B$5:$B$504,$A23,Ventas!$C$5:$C$504,$B23))</f>
        <v/>
      </c>
      <c r="G23" s="71">
        <f>IF($B23="",0,SUMIFS(Ventas!$L$5:$L$504,Ventas!$B$5:$B$504,$A23,Ventas!$C$5:$C$504,$B23))</f>
        <v/>
      </c>
      <c r="H23" s="71">
        <f>IF($B23="",0,SUMIFS(Ventas!$P$5:$P$504,Ventas!$B$5:$B$504,$A23,Ventas!$C$5:$C$504,$B23))</f>
        <v/>
      </c>
      <c r="I23" s="72">
        <f>IF($F23=0,0,$F23/Inicio!$C$22)</f>
        <v/>
      </c>
      <c r="J23" s="73">
        <f>IF($I23=0,"",ROUND($E23/$I23,0))</f>
        <v/>
      </c>
      <c r="K23" s="71">
        <f>IF($B23="",0,$E23*IFERROR(INDEX(Productos!$G$5:$G$124,MATCH($B23,Productos!$A$5:$A$124,0)),0))</f>
        <v/>
      </c>
      <c r="L23" s="71">
        <f>IF($K23=0,0,$K23*Inicio!$C$25/365*Inicio!$C$22)</f>
        <v/>
      </c>
      <c r="M23" s="73">
        <f>IF($B23="","",IF(SUMIF($B$5:$B$304,$B23,$F$5:$F$304)=0,"",ROUND(SUMIF($B$5:$B$304,$B23,$E$5:$E$304)/(SUMIF($B$5:$B$304,$B23,$F$5:$F$304)/Inicio!$C$22),0)))</f>
        <v/>
      </c>
      <c r="N23" s="74">
        <f>IF($B23="","",IF(AND($E23&lt;=0,$F23&gt;0),"QUIEBRE",IF(AND($F23=0,$E23&gt;0),"SIN ROTACIÓN",IF($J23="","",IF($J23&lt;Inicio!$C$23,"RIESGO DE QUIEBRE",IF($J23&gt;Inicio!$C$24*1.5,"EXCESO","SANO"))))))</f>
        <v/>
      </c>
      <c r="O23" s="74">
        <f>IF($M23="","",IF($J23="","",IF($J23&gt;2*$M23,"ENVIAR a otra tienda",IF($J23&lt;0.5*$M23,"PEDIR traslado","—"))))</f>
        <v/>
      </c>
    </row>
    <row r="24" ht="15" customHeight="1" s="47">
      <c r="A24" s="182" t="inlineStr">
        <is>
          <t>T01</t>
        </is>
      </c>
      <c r="B24" s="182" t="inlineStr">
        <is>
          <t>EL-020</t>
        </is>
      </c>
      <c r="C24" s="59">
        <f>IFERROR(INDEX(Productos!$B$5:$B$124,MATCH($B24,Productos!$A$5:$A$124,0)),"")</f>
        <v/>
      </c>
      <c r="D24" s="59">
        <f>IFERROR(INDEX(Productos!$D$5:$D$124,MATCH($B24,Productos!$A$5:$A$124,0)),"")</f>
        <v/>
      </c>
      <c r="E24" s="186" t="n">
        <v>0</v>
      </c>
      <c r="F24" s="70">
        <f>IF($B24="",0,SUMIFS(Ventas!$F$5:$F$504,Ventas!$B$5:$B$504,$A24,Ventas!$C$5:$C$504,$B24))</f>
        <v/>
      </c>
      <c r="G24" s="71">
        <f>IF($B24="",0,SUMIFS(Ventas!$L$5:$L$504,Ventas!$B$5:$B$504,$A24,Ventas!$C$5:$C$504,$B24))</f>
        <v/>
      </c>
      <c r="H24" s="71">
        <f>IF($B24="",0,SUMIFS(Ventas!$P$5:$P$504,Ventas!$B$5:$B$504,$A24,Ventas!$C$5:$C$504,$B24))</f>
        <v/>
      </c>
      <c r="I24" s="72">
        <f>IF($F24=0,0,$F24/Inicio!$C$22)</f>
        <v/>
      </c>
      <c r="J24" s="73">
        <f>IF($I24=0,"",ROUND($E24/$I24,0))</f>
        <v/>
      </c>
      <c r="K24" s="71">
        <f>IF($B24="",0,$E24*IFERROR(INDEX(Productos!$G$5:$G$124,MATCH($B24,Productos!$A$5:$A$124,0)),0))</f>
        <v/>
      </c>
      <c r="L24" s="71">
        <f>IF($K24=0,0,$K24*Inicio!$C$25/365*Inicio!$C$22)</f>
        <v/>
      </c>
      <c r="M24" s="73">
        <f>IF($B24="","",IF(SUMIF($B$5:$B$304,$B24,$F$5:$F$304)=0,"",ROUND(SUMIF($B$5:$B$304,$B24,$E$5:$E$304)/(SUMIF($B$5:$B$304,$B24,$F$5:$F$304)/Inicio!$C$22),0)))</f>
        <v/>
      </c>
      <c r="N24" s="74">
        <f>IF($B24="","",IF(AND($E24&lt;=0,$F24&gt;0),"QUIEBRE",IF(AND($F24=0,$E24&gt;0),"SIN ROTACIÓN",IF($J24="","",IF($J24&lt;Inicio!$C$23,"RIESGO DE QUIEBRE",IF($J24&gt;Inicio!$C$24*1.5,"EXCESO","SANO"))))))</f>
        <v/>
      </c>
      <c r="O24" s="74">
        <f>IF($M24="","",IF($J24="","",IF($J24&gt;2*$M24,"ENVIAR a otra tienda",IF($J24&lt;0.5*$M24,"PEDIR traslado","—"))))</f>
        <v/>
      </c>
    </row>
    <row r="25" ht="15" customHeight="1" s="47">
      <c r="A25" s="182" t="inlineStr">
        <is>
          <t>T01</t>
        </is>
      </c>
      <c r="B25" s="182" t="inlineStr">
        <is>
          <t>EL-021</t>
        </is>
      </c>
      <c r="C25" s="59">
        <f>IFERROR(INDEX(Productos!$B$5:$B$124,MATCH($B25,Productos!$A$5:$A$124,0)),"")</f>
        <v/>
      </c>
      <c r="D25" s="59">
        <f>IFERROR(INDEX(Productos!$D$5:$D$124,MATCH($B25,Productos!$A$5:$A$124,0)),"")</f>
        <v/>
      </c>
      <c r="E25" s="186" t="n">
        <v>6</v>
      </c>
      <c r="F25" s="70">
        <f>IF($B25="",0,SUMIFS(Ventas!$F$5:$F$504,Ventas!$B$5:$B$504,$A25,Ventas!$C$5:$C$504,$B25))</f>
        <v/>
      </c>
      <c r="G25" s="71">
        <f>IF($B25="",0,SUMIFS(Ventas!$L$5:$L$504,Ventas!$B$5:$B$504,$A25,Ventas!$C$5:$C$504,$B25))</f>
        <v/>
      </c>
      <c r="H25" s="71">
        <f>IF($B25="",0,SUMIFS(Ventas!$P$5:$P$504,Ventas!$B$5:$B$504,$A25,Ventas!$C$5:$C$504,$B25))</f>
        <v/>
      </c>
      <c r="I25" s="72">
        <f>IF($F25=0,0,$F25/Inicio!$C$22)</f>
        <v/>
      </c>
      <c r="J25" s="73">
        <f>IF($I25=0,"",ROUND($E25/$I25,0))</f>
        <v/>
      </c>
      <c r="K25" s="71">
        <f>IF($B25="",0,$E25*IFERROR(INDEX(Productos!$G$5:$G$124,MATCH($B25,Productos!$A$5:$A$124,0)),0))</f>
        <v/>
      </c>
      <c r="L25" s="71">
        <f>IF($K25=0,0,$K25*Inicio!$C$25/365*Inicio!$C$22)</f>
        <v/>
      </c>
      <c r="M25" s="73">
        <f>IF($B25="","",IF(SUMIF($B$5:$B$304,$B25,$F$5:$F$304)=0,"",ROUND(SUMIF($B$5:$B$304,$B25,$E$5:$E$304)/(SUMIF($B$5:$B$304,$B25,$F$5:$F$304)/Inicio!$C$22),0)))</f>
        <v/>
      </c>
      <c r="N25" s="74">
        <f>IF($B25="","",IF(AND($E25&lt;=0,$F25&gt;0),"QUIEBRE",IF(AND($F25=0,$E25&gt;0),"SIN ROTACIÓN",IF($J25="","",IF($J25&lt;Inicio!$C$23,"RIESGO DE QUIEBRE",IF($J25&gt;Inicio!$C$24*1.5,"EXCESO","SANO"))))))</f>
        <v/>
      </c>
      <c r="O25" s="74">
        <f>IF($M25="","",IF($J25="","",IF($J25&gt;2*$M25,"ENVIAR a otra tienda",IF($J25&lt;0.5*$M25,"PEDIR traslado","—"))))</f>
        <v/>
      </c>
    </row>
    <row r="26" ht="15" customHeight="1" s="47">
      <c r="A26" s="182" t="inlineStr">
        <is>
          <t>T01</t>
        </is>
      </c>
      <c r="B26" s="182" t="inlineStr">
        <is>
          <t>EL-022</t>
        </is>
      </c>
      <c r="C26" s="59">
        <f>IFERROR(INDEX(Productos!$B$5:$B$124,MATCH($B26,Productos!$A$5:$A$124,0)),"")</f>
        <v/>
      </c>
      <c r="D26" s="59">
        <f>IFERROR(INDEX(Productos!$D$5:$D$124,MATCH($B26,Productos!$A$5:$A$124,0)),"")</f>
        <v/>
      </c>
      <c r="E26" s="186" t="n">
        <v>8</v>
      </c>
      <c r="F26" s="70">
        <f>IF($B26="",0,SUMIFS(Ventas!$F$5:$F$504,Ventas!$B$5:$B$504,$A26,Ventas!$C$5:$C$504,$B26))</f>
        <v/>
      </c>
      <c r="G26" s="71">
        <f>IF($B26="",0,SUMIFS(Ventas!$L$5:$L$504,Ventas!$B$5:$B$504,$A26,Ventas!$C$5:$C$504,$B26))</f>
        <v/>
      </c>
      <c r="H26" s="71">
        <f>IF($B26="",0,SUMIFS(Ventas!$P$5:$P$504,Ventas!$B$5:$B$504,$A26,Ventas!$C$5:$C$504,$B26))</f>
        <v/>
      </c>
      <c r="I26" s="72">
        <f>IF($F26=0,0,$F26/Inicio!$C$22)</f>
        <v/>
      </c>
      <c r="J26" s="73">
        <f>IF($I26=0,"",ROUND($E26/$I26,0))</f>
        <v/>
      </c>
      <c r="K26" s="71">
        <f>IF($B26="",0,$E26*IFERROR(INDEX(Productos!$G$5:$G$124,MATCH($B26,Productos!$A$5:$A$124,0)),0))</f>
        <v/>
      </c>
      <c r="L26" s="71">
        <f>IF($K26=0,0,$K26*Inicio!$C$25/365*Inicio!$C$22)</f>
        <v/>
      </c>
      <c r="M26" s="73">
        <f>IF($B26="","",IF(SUMIF($B$5:$B$304,$B26,$F$5:$F$304)=0,"",ROUND(SUMIF($B$5:$B$304,$B26,$E$5:$E$304)/(SUMIF($B$5:$B$304,$B26,$F$5:$F$304)/Inicio!$C$22),0)))</f>
        <v/>
      </c>
      <c r="N26" s="74">
        <f>IF($B26="","",IF(AND($E26&lt;=0,$F26&gt;0),"QUIEBRE",IF(AND($F26=0,$E26&gt;0),"SIN ROTACIÓN",IF($J26="","",IF($J26&lt;Inicio!$C$23,"RIESGO DE QUIEBRE",IF($J26&gt;Inicio!$C$24*1.5,"EXCESO","SANO"))))))</f>
        <v/>
      </c>
      <c r="O26" s="74">
        <f>IF($M26="","",IF($J26="","",IF($J26&gt;2*$M26,"ENVIAR a otra tienda",IF($J26&lt;0.5*$M26,"PEDIR traslado","—"))))</f>
        <v/>
      </c>
    </row>
    <row r="27" ht="15" customHeight="1" s="47">
      <c r="A27" s="182" t="inlineStr">
        <is>
          <t>T01</t>
        </is>
      </c>
      <c r="B27" s="182" t="inlineStr">
        <is>
          <t>EL-023</t>
        </is>
      </c>
      <c r="C27" s="59">
        <f>IFERROR(INDEX(Productos!$B$5:$B$124,MATCH($B27,Productos!$A$5:$A$124,0)),"")</f>
        <v/>
      </c>
      <c r="D27" s="59">
        <f>IFERROR(INDEX(Productos!$D$5:$D$124,MATCH($B27,Productos!$A$5:$A$124,0)),"")</f>
        <v/>
      </c>
      <c r="E27" s="186" t="n">
        <v>3</v>
      </c>
      <c r="F27" s="70">
        <f>IF($B27="",0,SUMIFS(Ventas!$F$5:$F$504,Ventas!$B$5:$B$504,$A27,Ventas!$C$5:$C$504,$B27))</f>
        <v/>
      </c>
      <c r="G27" s="71">
        <f>IF($B27="",0,SUMIFS(Ventas!$L$5:$L$504,Ventas!$B$5:$B$504,$A27,Ventas!$C$5:$C$504,$B27))</f>
        <v/>
      </c>
      <c r="H27" s="71">
        <f>IF($B27="",0,SUMIFS(Ventas!$P$5:$P$504,Ventas!$B$5:$B$504,$A27,Ventas!$C$5:$C$504,$B27))</f>
        <v/>
      </c>
      <c r="I27" s="72">
        <f>IF($F27=0,0,$F27/Inicio!$C$22)</f>
        <v/>
      </c>
      <c r="J27" s="73">
        <f>IF($I27=0,"",ROUND($E27/$I27,0))</f>
        <v/>
      </c>
      <c r="K27" s="71">
        <f>IF($B27="",0,$E27*IFERROR(INDEX(Productos!$G$5:$G$124,MATCH($B27,Productos!$A$5:$A$124,0)),0))</f>
        <v/>
      </c>
      <c r="L27" s="71">
        <f>IF($K27=0,0,$K27*Inicio!$C$25/365*Inicio!$C$22)</f>
        <v/>
      </c>
      <c r="M27" s="73">
        <f>IF($B27="","",IF(SUMIF($B$5:$B$304,$B27,$F$5:$F$304)=0,"",ROUND(SUMIF($B$5:$B$304,$B27,$E$5:$E$304)/(SUMIF($B$5:$B$304,$B27,$F$5:$F$304)/Inicio!$C$22),0)))</f>
        <v/>
      </c>
      <c r="N27" s="74">
        <f>IF($B27="","",IF(AND($E27&lt;=0,$F27&gt;0),"QUIEBRE",IF(AND($F27=0,$E27&gt;0),"SIN ROTACIÓN",IF($J27="","",IF($J27&lt;Inicio!$C$23,"RIESGO DE QUIEBRE",IF($J27&gt;Inicio!$C$24*1.5,"EXCESO","SANO"))))))</f>
        <v/>
      </c>
      <c r="O27" s="74">
        <f>IF($M27="","",IF($J27="","",IF($J27&gt;2*$M27,"ENVIAR a otra tienda",IF($J27&lt;0.5*$M27,"PEDIR traslado","—"))))</f>
        <v/>
      </c>
    </row>
    <row r="28" ht="15" customHeight="1" s="47">
      <c r="A28" s="182" t="inlineStr">
        <is>
          <t>T01</t>
        </is>
      </c>
      <c r="B28" s="182" t="inlineStr">
        <is>
          <t>EL-024</t>
        </is>
      </c>
      <c r="C28" s="59">
        <f>IFERROR(INDEX(Productos!$B$5:$B$124,MATCH($B28,Productos!$A$5:$A$124,0)),"")</f>
        <v/>
      </c>
      <c r="D28" s="59">
        <f>IFERROR(INDEX(Productos!$D$5:$D$124,MATCH($B28,Productos!$A$5:$A$124,0)),"")</f>
        <v/>
      </c>
      <c r="E28" s="186" t="n">
        <v>16</v>
      </c>
      <c r="F28" s="70">
        <f>IF($B28="",0,SUMIFS(Ventas!$F$5:$F$504,Ventas!$B$5:$B$504,$A28,Ventas!$C$5:$C$504,$B28))</f>
        <v/>
      </c>
      <c r="G28" s="71">
        <f>IF($B28="",0,SUMIFS(Ventas!$L$5:$L$504,Ventas!$B$5:$B$504,$A28,Ventas!$C$5:$C$504,$B28))</f>
        <v/>
      </c>
      <c r="H28" s="71">
        <f>IF($B28="",0,SUMIFS(Ventas!$P$5:$P$504,Ventas!$B$5:$B$504,$A28,Ventas!$C$5:$C$504,$B28))</f>
        <v/>
      </c>
      <c r="I28" s="72">
        <f>IF($F28=0,0,$F28/Inicio!$C$22)</f>
        <v/>
      </c>
      <c r="J28" s="73">
        <f>IF($I28=0,"",ROUND($E28/$I28,0))</f>
        <v/>
      </c>
      <c r="K28" s="71">
        <f>IF($B28="",0,$E28*IFERROR(INDEX(Productos!$G$5:$G$124,MATCH($B28,Productos!$A$5:$A$124,0)),0))</f>
        <v/>
      </c>
      <c r="L28" s="71">
        <f>IF($K28=0,0,$K28*Inicio!$C$25/365*Inicio!$C$22)</f>
        <v/>
      </c>
      <c r="M28" s="73">
        <f>IF($B28="","",IF(SUMIF($B$5:$B$304,$B28,$F$5:$F$304)=0,"",ROUND(SUMIF($B$5:$B$304,$B28,$E$5:$E$304)/(SUMIF($B$5:$B$304,$B28,$F$5:$F$304)/Inicio!$C$22),0)))</f>
        <v/>
      </c>
      <c r="N28" s="74">
        <f>IF($B28="","",IF(AND($E28&lt;=0,$F28&gt;0),"QUIEBRE",IF(AND($F28=0,$E28&gt;0),"SIN ROTACIÓN",IF($J28="","",IF($J28&lt;Inicio!$C$23,"RIESGO DE QUIEBRE",IF($J28&gt;Inicio!$C$24*1.5,"EXCESO","SANO"))))))</f>
        <v/>
      </c>
      <c r="O28" s="74">
        <f>IF($M28="","",IF($J28="","",IF($J28&gt;2*$M28,"ENVIAR a otra tienda",IF($J28&lt;0.5*$M28,"PEDIR traslado","—"))))</f>
        <v/>
      </c>
    </row>
    <row r="29" ht="15" customHeight="1" s="47">
      <c r="A29" s="182" t="inlineStr">
        <is>
          <t>T01</t>
        </is>
      </c>
      <c r="B29" s="182" t="inlineStr">
        <is>
          <t>EL-025</t>
        </is>
      </c>
      <c r="C29" s="59">
        <f>IFERROR(INDEX(Productos!$B$5:$B$124,MATCH($B29,Productos!$A$5:$A$124,0)),"")</f>
        <v/>
      </c>
      <c r="D29" s="59">
        <f>IFERROR(INDEX(Productos!$D$5:$D$124,MATCH($B29,Productos!$A$5:$A$124,0)),"")</f>
        <v/>
      </c>
      <c r="E29" s="186" t="n">
        <v>26</v>
      </c>
      <c r="F29" s="70">
        <f>IF($B29="",0,SUMIFS(Ventas!$F$5:$F$504,Ventas!$B$5:$B$504,$A29,Ventas!$C$5:$C$504,$B29))</f>
        <v/>
      </c>
      <c r="G29" s="71">
        <f>IF($B29="",0,SUMIFS(Ventas!$L$5:$L$504,Ventas!$B$5:$B$504,$A29,Ventas!$C$5:$C$504,$B29))</f>
        <v/>
      </c>
      <c r="H29" s="71">
        <f>IF($B29="",0,SUMIFS(Ventas!$P$5:$P$504,Ventas!$B$5:$B$504,$A29,Ventas!$C$5:$C$504,$B29))</f>
        <v/>
      </c>
      <c r="I29" s="72">
        <f>IF($F29=0,0,$F29/Inicio!$C$22)</f>
        <v/>
      </c>
      <c r="J29" s="73">
        <f>IF($I29=0,"",ROUND($E29/$I29,0))</f>
        <v/>
      </c>
      <c r="K29" s="71">
        <f>IF($B29="",0,$E29*IFERROR(INDEX(Productos!$G$5:$G$124,MATCH($B29,Productos!$A$5:$A$124,0)),0))</f>
        <v/>
      </c>
      <c r="L29" s="71">
        <f>IF($K29=0,0,$K29*Inicio!$C$25/365*Inicio!$C$22)</f>
        <v/>
      </c>
      <c r="M29" s="73">
        <f>IF($B29="","",IF(SUMIF($B$5:$B$304,$B29,$F$5:$F$304)=0,"",ROUND(SUMIF($B$5:$B$304,$B29,$E$5:$E$304)/(SUMIF($B$5:$B$304,$B29,$F$5:$F$304)/Inicio!$C$22),0)))</f>
        <v/>
      </c>
      <c r="N29" s="74">
        <f>IF($B29="","",IF(AND($E29&lt;=0,$F29&gt;0),"QUIEBRE",IF(AND($F29=0,$E29&gt;0),"SIN ROTACIÓN",IF($J29="","",IF($J29&lt;Inicio!$C$23,"RIESGO DE QUIEBRE",IF($J29&gt;Inicio!$C$24*1.5,"EXCESO","SANO"))))))</f>
        <v/>
      </c>
      <c r="O29" s="74">
        <f>IF($M29="","",IF($J29="","",IF($J29&gt;2*$M29,"ENVIAR a otra tienda",IF($J29&lt;0.5*$M29,"PEDIR traslado","—"))))</f>
        <v/>
      </c>
    </row>
    <row r="30" ht="15" customHeight="1" s="47">
      <c r="A30" s="182" t="inlineStr">
        <is>
          <t>T01</t>
        </is>
      </c>
      <c r="B30" s="182" t="inlineStr">
        <is>
          <t>EL-026</t>
        </is>
      </c>
      <c r="C30" s="59">
        <f>IFERROR(INDEX(Productos!$B$5:$B$124,MATCH($B30,Productos!$A$5:$A$124,0)),"")</f>
        <v/>
      </c>
      <c r="D30" s="59">
        <f>IFERROR(INDEX(Productos!$D$5:$D$124,MATCH($B30,Productos!$A$5:$A$124,0)),"")</f>
        <v/>
      </c>
      <c r="E30" s="186" t="n">
        <v>9</v>
      </c>
      <c r="F30" s="70">
        <f>IF($B30="",0,SUMIFS(Ventas!$F$5:$F$504,Ventas!$B$5:$B$504,$A30,Ventas!$C$5:$C$504,$B30))</f>
        <v/>
      </c>
      <c r="G30" s="71">
        <f>IF($B30="",0,SUMIFS(Ventas!$L$5:$L$504,Ventas!$B$5:$B$504,$A30,Ventas!$C$5:$C$504,$B30))</f>
        <v/>
      </c>
      <c r="H30" s="71">
        <f>IF($B30="",0,SUMIFS(Ventas!$P$5:$P$504,Ventas!$B$5:$B$504,$A30,Ventas!$C$5:$C$504,$B30))</f>
        <v/>
      </c>
      <c r="I30" s="72">
        <f>IF($F30=0,0,$F30/Inicio!$C$22)</f>
        <v/>
      </c>
      <c r="J30" s="73">
        <f>IF($I30=0,"",ROUND($E30/$I30,0))</f>
        <v/>
      </c>
      <c r="K30" s="71">
        <f>IF($B30="",0,$E30*IFERROR(INDEX(Productos!$G$5:$G$124,MATCH($B30,Productos!$A$5:$A$124,0)),0))</f>
        <v/>
      </c>
      <c r="L30" s="71">
        <f>IF($K30=0,0,$K30*Inicio!$C$25/365*Inicio!$C$22)</f>
        <v/>
      </c>
      <c r="M30" s="73">
        <f>IF($B30="","",IF(SUMIF($B$5:$B$304,$B30,$F$5:$F$304)=0,"",ROUND(SUMIF($B$5:$B$304,$B30,$E$5:$E$304)/(SUMIF($B$5:$B$304,$B30,$F$5:$F$304)/Inicio!$C$22),0)))</f>
        <v/>
      </c>
      <c r="N30" s="74">
        <f>IF($B30="","",IF(AND($E30&lt;=0,$F30&gt;0),"QUIEBRE",IF(AND($F30=0,$E30&gt;0),"SIN ROTACIÓN",IF($J30="","",IF($J30&lt;Inicio!$C$23,"RIESGO DE QUIEBRE",IF($J30&gt;Inicio!$C$24*1.5,"EXCESO","SANO"))))))</f>
        <v/>
      </c>
      <c r="O30" s="74">
        <f>IF($M30="","",IF($J30="","",IF($J30&gt;2*$M30,"ENVIAR a otra tienda",IF($J30&lt;0.5*$M30,"PEDIR traslado","—"))))</f>
        <v/>
      </c>
    </row>
    <row r="31" ht="15" customHeight="1" s="47">
      <c r="A31" s="182" t="inlineStr">
        <is>
          <t>T01</t>
        </is>
      </c>
      <c r="B31" s="182" t="inlineStr">
        <is>
          <t>EL-027</t>
        </is>
      </c>
      <c r="C31" s="59">
        <f>IFERROR(INDEX(Productos!$B$5:$B$124,MATCH($B31,Productos!$A$5:$A$124,0)),"")</f>
        <v/>
      </c>
      <c r="D31" s="59">
        <f>IFERROR(INDEX(Productos!$D$5:$D$124,MATCH($B31,Productos!$A$5:$A$124,0)),"")</f>
        <v/>
      </c>
      <c r="E31" s="186" t="n">
        <v>5</v>
      </c>
      <c r="F31" s="70">
        <f>IF($B31="",0,SUMIFS(Ventas!$F$5:$F$504,Ventas!$B$5:$B$504,$A31,Ventas!$C$5:$C$504,$B31))</f>
        <v/>
      </c>
      <c r="G31" s="71">
        <f>IF($B31="",0,SUMIFS(Ventas!$L$5:$L$504,Ventas!$B$5:$B$504,$A31,Ventas!$C$5:$C$504,$B31))</f>
        <v/>
      </c>
      <c r="H31" s="71">
        <f>IF($B31="",0,SUMIFS(Ventas!$P$5:$P$504,Ventas!$B$5:$B$504,$A31,Ventas!$C$5:$C$504,$B31))</f>
        <v/>
      </c>
      <c r="I31" s="72">
        <f>IF($F31=0,0,$F31/Inicio!$C$22)</f>
        <v/>
      </c>
      <c r="J31" s="73">
        <f>IF($I31=0,"",ROUND($E31/$I31,0))</f>
        <v/>
      </c>
      <c r="K31" s="71">
        <f>IF($B31="",0,$E31*IFERROR(INDEX(Productos!$G$5:$G$124,MATCH($B31,Productos!$A$5:$A$124,0)),0))</f>
        <v/>
      </c>
      <c r="L31" s="71">
        <f>IF($K31=0,0,$K31*Inicio!$C$25/365*Inicio!$C$22)</f>
        <v/>
      </c>
      <c r="M31" s="73">
        <f>IF($B31="","",IF(SUMIF($B$5:$B$304,$B31,$F$5:$F$304)=0,"",ROUND(SUMIF($B$5:$B$304,$B31,$E$5:$E$304)/(SUMIF($B$5:$B$304,$B31,$F$5:$F$304)/Inicio!$C$22),0)))</f>
        <v/>
      </c>
      <c r="N31" s="74">
        <f>IF($B31="","",IF(AND($E31&lt;=0,$F31&gt;0),"QUIEBRE",IF(AND($F31=0,$E31&gt;0),"SIN ROTACIÓN",IF($J31="","",IF($J31&lt;Inicio!$C$23,"RIESGO DE QUIEBRE",IF($J31&gt;Inicio!$C$24*1.5,"EXCESO","SANO"))))))</f>
        <v/>
      </c>
      <c r="O31" s="74">
        <f>IF($M31="","",IF($J31="","",IF($J31&gt;2*$M31,"ENVIAR a otra tienda",IF($J31&lt;0.5*$M31,"PEDIR traslado","—"))))</f>
        <v/>
      </c>
    </row>
    <row r="32" ht="15" customHeight="1" s="47">
      <c r="A32" s="182" t="inlineStr">
        <is>
          <t>T01</t>
        </is>
      </c>
      <c r="B32" s="182" t="inlineStr">
        <is>
          <t>EL-028</t>
        </is>
      </c>
      <c r="C32" s="59">
        <f>IFERROR(INDEX(Productos!$B$5:$B$124,MATCH($B32,Productos!$A$5:$A$124,0)),"")</f>
        <v/>
      </c>
      <c r="D32" s="59">
        <f>IFERROR(INDEX(Productos!$D$5:$D$124,MATCH($B32,Productos!$A$5:$A$124,0)),"")</f>
        <v/>
      </c>
      <c r="E32" s="186" t="n">
        <v>14</v>
      </c>
      <c r="F32" s="70">
        <f>IF($B32="",0,SUMIFS(Ventas!$F$5:$F$504,Ventas!$B$5:$B$504,$A32,Ventas!$C$5:$C$504,$B32))</f>
        <v/>
      </c>
      <c r="G32" s="71">
        <f>IF($B32="",0,SUMIFS(Ventas!$L$5:$L$504,Ventas!$B$5:$B$504,$A32,Ventas!$C$5:$C$504,$B32))</f>
        <v/>
      </c>
      <c r="H32" s="71">
        <f>IF($B32="",0,SUMIFS(Ventas!$P$5:$P$504,Ventas!$B$5:$B$504,$A32,Ventas!$C$5:$C$504,$B32))</f>
        <v/>
      </c>
      <c r="I32" s="72">
        <f>IF($F32=0,0,$F32/Inicio!$C$22)</f>
        <v/>
      </c>
      <c r="J32" s="73">
        <f>IF($I32=0,"",ROUND($E32/$I32,0))</f>
        <v/>
      </c>
      <c r="K32" s="71">
        <f>IF($B32="",0,$E32*IFERROR(INDEX(Productos!$G$5:$G$124,MATCH($B32,Productos!$A$5:$A$124,0)),0))</f>
        <v/>
      </c>
      <c r="L32" s="71">
        <f>IF($K32=0,0,$K32*Inicio!$C$25/365*Inicio!$C$22)</f>
        <v/>
      </c>
      <c r="M32" s="73">
        <f>IF($B32="","",IF(SUMIF($B$5:$B$304,$B32,$F$5:$F$304)=0,"",ROUND(SUMIF($B$5:$B$304,$B32,$E$5:$E$304)/(SUMIF($B$5:$B$304,$B32,$F$5:$F$304)/Inicio!$C$22),0)))</f>
        <v/>
      </c>
      <c r="N32" s="74">
        <f>IF($B32="","",IF(AND($E32&lt;=0,$F32&gt;0),"QUIEBRE",IF(AND($F32=0,$E32&gt;0),"SIN ROTACIÓN",IF($J32="","",IF($J32&lt;Inicio!$C$23,"RIESGO DE QUIEBRE",IF($J32&gt;Inicio!$C$24*1.5,"EXCESO","SANO"))))))</f>
        <v/>
      </c>
      <c r="O32" s="74">
        <f>IF($M32="","",IF($J32="","",IF($J32&gt;2*$M32,"ENVIAR a otra tienda",IF($J32&lt;0.5*$M32,"PEDIR traslado","—"))))</f>
        <v/>
      </c>
    </row>
    <row r="33" ht="15" customHeight="1" s="47">
      <c r="A33" s="182" t="inlineStr">
        <is>
          <t>T01</t>
        </is>
      </c>
      <c r="B33" s="182" t="inlineStr">
        <is>
          <t>EL-029</t>
        </is>
      </c>
      <c r="C33" s="59">
        <f>IFERROR(INDEX(Productos!$B$5:$B$124,MATCH($B33,Productos!$A$5:$A$124,0)),"")</f>
        <v/>
      </c>
      <c r="D33" s="59">
        <f>IFERROR(INDEX(Productos!$D$5:$D$124,MATCH($B33,Productos!$A$5:$A$124,0)),"")</f>
        <v/>
      </c>
      <c r="E33" s="186" t="n">
        <v>17</v>
      </c>
      <c r="F33" s="70">
        <f>IF($B33="",0,SUMIFS(Ventas!$F$5:$F$504,Ventas!$B$5:$B$504,$A33,Ventas!$C$5:$C$504,$B33))</f>
        <v/>
      </c>
      <c r="G33" s="71">
        <f>IF($B33="",0,SUMIFS(Ventas!$L$5:$L$504,Ventas!$B$5:$B$504,$A33,Ventas!$C$5:$C$504,$B33))</f>
        <v/>
      </c>
      <c r="H33" s="71">
        <f>IF($B33="",0,SUMIFS(Ventas!$P$5:$P$504,Ventas!$B$5:$B$504,$A33,Ventas!$C$5:$C$504,$B33))</f>
        <v/>
      </c>
      <c r="I33" s="72">
        <f>IF($F33=0,0,$F33/Inicio!$C$22)</f>
        <v/>
      </c>
      <c r="J33" s="73">
        <f>IF($I33=0,"",ROUND($E33/$I33,0))</f>
        <v/>
      </c>
      <c r="K33" s="71">
        <f>IF($B33="",0,$E33*IFERROR(INDEX(Productos!$G$5:$G$124,MATCH($B33,Productos!$A$5:$A$124,0)),0))</f>
        <v/>
      </c>
      <c r="L33" s="71">
        <f>IF($K33=0,0,$K33*Inicio!$C$25/365*Inicio!$C$22)</f>
        <v/>
      </c>
      <c r="M33" s="73">
        <f>IF($B33="","",IF(SUMIF($B$5:$B$304,$B33,$F$5:$F$304)=0,"",ROUND(SUMIF($B$5:$B$304,$B33,$E$5:$E$304)/(SUMIF($B$5:$B$304,$B33,$F$5:$F$304)/Inicio!$C$22),0)))</f>
        <v/>
      </c>
      <c r="N33" s="74">
        <f>IF($B33="","",IF(AND($E33&lt;=0,$F33&gt;0),"QUIEBRE",IF(AND($F33=0,$E33&gt;0),"SIN ROTACIÓN",IF($J33="","",IF($J33&lt;Inicio!$C$23,"RIESGO DE QUIEBRE",IF($J33&gt;Inicio!$C$24*1.5,"EXCESO","SANO"))))))</f>
        <v/>
      </c>
      <c r="O33" s="74">
        <f>IF($M33="","",IF($J33="","",IF($J33&gt;2*$M33,"ENVIAR a otra tienda",IF($J33&lt;0.5*$M33,"PEDIR traslado","—"))))</f>
        <v/>
      </c>
    </row>
    <row r="34" ht="15" customHeight="1" s="47">
      <c r="A34" s="182" t="inlineStr">
        <is>
          <t>T01</t>
        </is>
      </c>
      <c r="B34" s="182" t="inlineStr">
        <is>
          <t>EL-030</t>
        </is>
      </c>
      <c r="C34" s="59">
        <f>IFERROR(INDEX(Productos!$B$5:$B$124,MATCH($B34,Productos!$A$5:$A$124,0)),"")</f>
        <v/>
      </c>
      <c r="D34" s="59">
        <f>IFERROR(INDEX(Productos!$D$5:$D$124,MATCH($B34,Productos!$A$5:$A$124,0)),"")</f>
        <v/>
      </c>
      <c r="E34" s="186" t="n">
        <v>0</v>
      </c>
      <c r="F34" s="70">
        <f>IF($B34="",0,SUMIFS(Ventas!$F$5:$F$504,Ventas!$B$5:$B$504,$A34,Ventas!$C$5:$C$504,$B34))</f>
        <v/>
      </c>
      <c r="G34" s="71">
        <f>IF($B34="",0,SUMIFS(Ventas!$L$5:$L$504,Ventas!$B$5:$B$504,$A34,Ventas!$C$5:$C$504,$B34))</f>
        <v/>
      </c>
      <c r="H34" s="71">
        <f>IF($B34="",0,SUMIFS(Ventas!$P$5:$P$504,Ventas!$B$5:$B$504,$A34,Ventas!$C$5:$C$504,$B34))</f>
        <v/>
      </c>
      <c r="I34" s="72">
        <f>IF($F34=0,0,$F34/Inicio!$C$22)</f>
        <v/>
      </c>
      <c r="J34" s="73">
        <f>IF($I34=0,"",ROUND($E34/$I34,0))</f>
        <v/>
      </c>
      <c r="K34" s="71">
        <f>IF($B34="",0,$E34*IFERROR(INDEX(Productos!$G$5:$G$124,MATCH($B34,Productos!$A$5:$A$124,0)),0))</f>
        <v/>
      </c>
      <c r="L34" s="71">
        <f>IF($K34=0,0,$K34*Inicio!$C$25/365*Inicio!$C$22)</f>
        <v/>
      </c>
      <c r="M34" s="73">
        <f>IF($B34="","",IF(SUMIF($B$5:$B$304,$B34,$F$5:$F$304)=0,"",ROUND(SUMIF($B$5:$B$304,$B34,$E$5:$E$304)/(SUMIF($B$5:$B$304,$B34,$F$5:$F$304)/Inicio!$C$22),0)))</f>
        <v/>
      </c>
      <c r="N34" s="74">
        <f>IF($B34="","",IF(AND($E34&lt;=0,$F34&gt;0),"QUIEBRE",IF(AND($F34=0,$E34&gt;0),"SIN ROTACIÓN",IF($J34="","",IF($J34&lt;Inicio!$C$23,"RIESGO DE QUIEBRE",IF($J34&gt;Inicio!$C$24*1.5,"EXCESO","SANO"))))))</f>
        <v/>
      </c>
      <c r="O34" s="74">
        <f>IF($M34="","",IF($J34="","",IF($J34&gt;2*$M34,"ENVIAR a otra tienda",IF($J34&lt;0.5*$M34,"PEDIR traslado","—"))))</f>
        <v/>
      </c>
    </row>
    <row r="35" ht="15" customHeight="1" s="47">
      <c r="A35" s="182" t="inlineStr">
        <is>
          <t>T01</t>
        </is>
      </c>
      <c r="B35" s="182" t="inlineStr">
        <is>
          <t>EL-031</t>
        </is>
      </c>
      <c r="C35" s="59">
        <f>IFERROR(INDEX(Productos!$B$5:$B$124,MATCH($B35,Productos!$A$5:$A$124,0)),"")</f>
        <v/>
      </c>
      <c r="D35" s="59">
        <f>IFERROR(INDEX(Productos!$D$5:$D$124,MATCH($B35,Productos!$A$5:$A$124,0)),"")</f>
        <v/>
      </c>
      <c r="E35" s="186" t="n">
        <v>2</v>
      </c>
      <c r="F35" s="70">
        <f>IF($B35="",0,SUMIFS(Ventas!$F$5:$F$504,Ventas!$B$5:$B$504,$A35,Ventas!$C$5:$C$504,$B35))</f>
        <v/>
      </c>
      <c r="G35" s="71">
        <f>IF($B35="",0,SUMIFS(Ventas!$L$5:$L$504,Ventas!$B$5:$B$504,$A35,Ventas!$C$5:$C$504,$B35))</f>
        <v/>
      </c>
      <c r="H35" s="71">
        <f>IF($B35="",0,SUMIFS(Ventas!$P$5:$P$504,Ventas!$B$5:$B$504,$A35,Ventas!$C$5:$C$504,$B35))</f>
        <v/>
      </c>
      <c r="I35" s="72">
        <f>IF($F35=0,0,$F35/Inicio!$C$22)</f>
        <v/>
      </c>
      <c r="J35" s="73">
        <f>IF($I35=0,"",ROUND($E35/$I35,0))</f>
        <v/>
      </c>
      <c r="K35" s="71">
        <f>IF($B35="",0,$E35*IFERROR(INDEX(Productos!$G$5:$G$124,MATCH($B35,Productos!$A$5:$A$124,0)),0))</f>
        <v/>
      </c>
      <c r="L35" s="71">
        <f>IF($K35=0,0,$K35*Inicio!$C$25/365*Inicio!$C$22)</f>
        <v/>
      </c>
      <c r="M35" s="73">
        <f>IF($B35="","",IF(SUMIF($B$5:$B$304,$B35,$F$5:$F$304)=0,"",ROUND(SUMIF($B$5:$B$304,$B35,$E$5:$E$304)/(SUMIF($B$5:$B$304,$B35,$F$5:$F$304)/Inicio!$C$22),0)))</f>
        <v/>
      </c>
      <c r="N35" s="74">
        <f>IF($B35="","",IF(AND($E35&lt;=0,$F35&gt;0),"QUIEBRE",IF(AND($F35=0,$E35&gt;0),"SIN ROTACIÓN",IF($J35="","",IF($J35&lt;Inicio!$C$23,"RIESGO DE QUIEBRE",IF($J35&gt;Inicio!$C$24*1.5,"EXCESO","SANO"))))))</f>
        <v/>
      </c>
      <c r="O35" s="74">
        <f>IF($M35="","",IF($J35="","",IF($J35&gt;2*$M35,"ENVIAR a otra tienda",IF($J35&lt;0.5*$M35,"PEDIR traslado","—"))))</f>
        <v/>
      </c>
    </row>
    <row r="36" ht="15" customHeight="1" s="47">
      <c r="A36" s="182" t="inlineStr">
        <is>
          <t>T01</t>
        </is>
      </c>
      <c r="B36" s="182" t="inlineStr">
        <is>
          <t>EL-032</t>
        </is>
      </c>
      <c r="C36" s="59">
        <f>IFERROR(INDEX(Productos!$B$5:$B$124,MATCH($B36,Productos!$A$5:$A$124,0)),"")</f>
        <v/>
      </c>
      <c r="D36" s="59">
        <f>IFERROR(INDEX(Productos!$D$5:$D$124,MATCH($B36,Productos!$A$5:$A$124,0)),"")</f>
        <v/>
      </c>
      <c r="E36" s="186" t="n">
        <v>1</v>
      </c>
      <c r="F36" s="70">
        <f>IF($B36="",0,SUMIFS(Ventas!$F$5:$F$504,Ventas!$B$5:$B$504,$A36,Ventas!$C$5:$C$504,$B36))</f>
        <v/>
      </c>
      <c r="G36" s="71">
        <f>IF($B36="",0,SUMIFS(Ventas!$L$5:$L$504,Ventas!$B$5:$B$504,$A36,Ventas!$C$5:$C$504,$B36))</f>
        <v/>
      </c>
      <c r="H36" s="71">
        <f>IF($B36="",0,SUMIFS(Ventas!$P$5:$P$504,Ventas!$B$5:$B$504,$A36,Ventas!$C$5:$C$504,$B36))</f>
        <v/>
      </c>
      <c r="I36" s="72">
        <f>IF($F36=0,0,$F36/Inicio!$C$22)</f>
        <v/>
      </c>
      <c r="J36" s="73">
        <f>IF($I36=0,"",ROUND($E36/$I36,0))</f>
        <v/>
      </c>
      <c r="K36" s="71">
        <f>IF($B36="",0,$E36*IFERROR(INDEX(Productos!$G$5:$G$124,MATCH($B36,Productos!$A$5:$A$124,0)),0))</f>
        <v/>
      </c>
      <c r="L36" s="71">
        <f>IF($K36=0,0,$K36*Inicio!$C$25/365*Inicio!$C$22)</f>
        <v/>
      </c>
      <c r="M36" s="73">
        <f>IF($B36="","",IF(SUMIF($B$5:$B$304,$B36,$F$5:$F$304)=0,"",ROUND(SUMIF($B$5:$B$304,$B36,$E$5:$E$304)/(SUMIF($B$5:$B$304,$B36,$F$5:$F$304)/Inicio!$C$22),0)))</f>
        <v/>
      </c>
      <c r="N36" s="74">
        <f>IF($B36="","",IF(AND($E36&lt;=0,$F36&gt;0),"QUIEBRE",IF(AND($F36=0,$E36&gt;0),"SIN ROTACIÓN",IF($J36="","",IF($J36&lt;Inicio!$C$23,"RIESGO DE QUIEBRE",IF($J36&gt;Inicio!$C$24*1.5,"EXCESO","SANO"))))))</f>
        <v/>
      </c>
      <c r="O36" s="74">
        <f>IF($M36="","",IF($J36="","",IF($J36&gt;2*$M36,"ENVIAR a otra tienda",IF($J36&lt;0.5*$M36,"PEDIR traslado","—"))))</f>
        <v/>
      </c>
    </row>
    <row r="37" ht="15" customHeight="1" s="47">
      <c r="A37" s="182" t="inlineStr">
        <is>
          <t>T01</t>
        </is>
      </c>
      <c r="B37" s="182" t="inlineStr">
        <is>
          <t>EL-033</t>
        </is>
      </c>
      <c r="C37" s="59">
        <f>IFERROR(INDEX(Productos!$B$5:$B$124,MATCH($B37,Productos!$A$5:$A$124,0)),"")</f>
        <v/>
      </c>
      <c r="D37" s="59">
        <f>IFERROR(INDEX(Productos!$D$5:$D$124,MATCH($B37,Productos!$A$5:$A$124,0)),"")</f>
        <v/>
      </c>
      <c r="E37" s="186" t="n">
        <v>0</v>
      </c>
      <c r="F37" s="70">
        <f>IF($B37="",0,SUMIFS(Ventas!$F$5:$F$504,Ventas!$B$5:$B$504,$A37,Ventas!$C$5:$C$504,$B37))</f>
        <v/>
      </c>
      <c r="G37" s="71">
        <f>IF($B37="",0,SUMIFS(Ventas!$L$5:$L$504,Ventas!$B$5:$B$504,$A37,Ventas!$C$5:$C$504,$B37))</f>
        <v/>
      </c>
      <c r="H37" s="71">
        <f>IF($B37="",0,SUMIFS(Ventas!$P$5:$P$504,Ventas!$B$5:$B$504,$A37,Ventas!$C$5:$C$504,$B37))</f>
        <v/>
      </c>
      <c r="I37" s="72">
        <f>IF($F37=0,0,$F37/Inicio!$C$22)</f>
        <v/>
      </c>
      <c r="J37" s="73">
        <f>IF($I37=0,"",ROUND($E37/$I37,0))</f>
        <v/>
      </c>
      <c r="K37" s="71">
        <f>IF($B37="",0,$E37*IFERROR(INDEX(Productos!$G$5:$G$124,MATCH($B37,Productos!$A$5:$A$124,0)),0))</f>
        <v/>
      </c>
      <c r="L37" s="71">
        <f>IF($K37=0,0,$K37*Inicio!$C$25/365*Inicio!$C$22)</f>
        <v/>
      </c>
      <c r="M37" s="73">
        <f>IF($B37="","",IF(SUMIF($B$5:$B$304,$B37,$F$5:$F$304)=0,"",ROUND(SUMIF($B$5:$B$304,$B37,$E$5:$E$304)/(SUMIF($B$5:$B$304,$B37,$F$5:$F$304)/Inicio!$C$22),0)))</f>
        <v/>
      </c>
      <c r="N37" s="74">
        <f>IF($B37="","",IF(AND($E37&lt;=0,$F37&gt;0),"QUIEBRE",IF(AND($F37=0,$E37&gt;0),"SIN ROTACIÓN",IF($J37="","",IF($J37&lt;Inicio!$C$23,"RIESGO DE QUIEBRE",IF($J37&gt;Inicio!$C$24*1.5,"EXCESO","SANO"))))))</f>
        <v/>
      </c>
      <c r="O37" s="74">
        <f>IF($M37="","",IF($J37="","",IF($J37&gt;2*$M37,"ENVIAR a otra tienda",IF($J37&lt;0.5*$M37,"PEDIR traslado","—"))))</f>
        <v/>
      </c>
    </row>
    <row r="38" ht="15" customHeight="1" s="47">
      <c r="A38" s="182" t="inlineStr">
        <is>
          <t>T01</t>
        </is>
      </c>
      <c r="B38" s="182" t="inlineStr">
        <is>
          <t>EL-034</t>
        </is>
      </c>
      <c r="C38" s="59">
        <f>IFERROR(INDEX(Productos!$B$5:$B$124,MATCH($B38,Productos!$A$5:$A$124,0)),"")</f>
        <v/>
      </c>
      <c r="D38" s="59">
        <f>IFERROR(INDEX(Productos!$D$5:$D$124,MATCH($B38,Productos!$A$5:$A$124,0)),"")</f>
        <v/>
      </c>
      <c r="E38" s="186" t="n">
        <v>10</v>
      </c>
      <c r="F38" s="70">
        <f>IF($B38="",0,SUMIFS(Ventas!$F$5:$F$504,Ventas!$B$5:$B$504,$A38,Ventas!$C$5:$C$504,$B38))</f>
        <v/>
      </c>
      <c r="G38" s="71">
        <f>IF($B38="",0,SUMIFS(Ventas!$L$5:$L$504,Ventas!$B$5:$B$504,$A38,Ventas!$C$5:$C$504,$B38))</f>
        <v/>
      </c>
      <c r="H38" s="71">
        <f>IF($B38="",0,SUMIFS(Ventas!$P$5:$P$504,Ventas!$B$5:$B$504,$A38,Ventas!$C$5:$C$504,$B38))</f>
        <v/>
      </c>
      <c r="I38" s="72">
        <f>IF($F38=0,0,$F38/Inicio!$C$22)</f>
        <v/>
      </c>
      <c r="J38" s="73">
        <f>IF($I38=0,"",ROUND($E38/$I38,0))</f>
        <v/>
      </c>
      <c r="K38" s="71">
        <f>IF($B38="",0,$E38*IFERROR(INDEX(Productos!$G$5:$G$124,MATCH($B38,Productos!$A$5:$A$124,0)),0))</f>
        <v/>
      </c>
      <c r="L38" s="71">
        <f>IF($K38=0,0,$K38*Inicio!$C$25/365*Inicio!$C$22)</f>
        <v/>
      </c>
      <c r="M38" s="73">
        <f>IF($B38="","",IF(SUMIF($B$5:$B$304,$B38,$F$5:$F$304)=0,"",ROUND(SUMIF($B$5:$B$304,$B38,$E$5:$E$304)/(SUMIF($B$5:$B$304,$B38,$F$5:$F$304)/Inicio!$C$22),0)))</f>
        <v/>
      </c>
      <c r="N38" s="74">
        <f>IF($B38="","",IF(AND($E38&lt;=0,$F38&gt;0),"QUIEBRE",IF(AND($F38=0,$E38&gt;0),"SIN ROTACIÓN",IF($J38="","",IF($J38&lt;Inicio!$C$23,"RIESGO DE QUIEBRE",IF($J38&gt;Inicio!$C$24*1.5,"EXCESO","SANO"))))))</f>
        <v/>
      </c>
      <c r="O38" s="74">
        <f>IF($M38="","",IF($J38="","",IF($J38&gt;2*$M38,"ENVIAR a otra tienda",IF($J38&lt;0.5*$M38,"PEDIR traslado","—"))))</f>
        <v/>
      </c>
    </row>
    <row r="39" ht="15" customHeight="1" s="47">
      <c r="A39" s="182" t="inlineStr">
        <is>
          <t>T01</t>
        </is>
      </c>
      <c r="B39" s="182" t="inlineStr">
        <is>
          <t>EL-035</t>
        </is>
      </c>
      <c r="C39" s="59">
        <f>IFERROR(INDEX(Productos!$B$5:$B$124,MATCH($B39,Productos!$A$5:$A$124,0)),"")</f>
        <v/>
      </c>
      <c r="D39" s="59">
        <f>IFERROR(INDEX(Productos!$D$5:$D$124,MATCH($B39,Productos!$A$5:$A$124,0)),"")</f>
        <v/>
      </c>
      <c r="E39" s="186" t="n">
        <v>2</v>
      </c>
      <c r="F39" s="70">
        <f>IF($B39="",0,SUMIFS(Ventas!$F$5:$F$504,Ventas!$B$5:$B$504,$A39,Ventas!$C$5:$C$504,$B39))</f>
        <v/>
      </c>
      <c r="G39" s="71">
        <f>IF($B39="",0,SUMIFS(Ventas!$L$5:$L$504,Ventas!$B$5:$B$504,$A39,Ventas!$C$5:$C$504,$B39))</f>
        <v/>
      </c>
      <c r="H39" s="71">
        <f>IF($B39="",0,SUMIFS(Ventas!$P$5:$P$504,Ventas!$B$5:$B$504,$A39,Ventas!$C$5:$C$504,$B39))</f>
        <v/>
      </c>
      <c r="I39" s="72">
        <f>IF($F39=0,0,$F39/Inicio!$C$22)</f>
        <v/>
      </c>
      <c r="J39" s="73">
        <f>IF($I39=0,"",ROUND($E39/$I39,0))</f>
        <v/>
      </c>
      <c r="K39" s="71">
        <f>IF($B39="",0,$E39*IFERROR(INDEX(Productos!$G$5:$G$124,MATCH($B39,Productos!$A$5:$A$124,0)),0))</f>
        <v/>
      </c>
      <c r="L39" s="71">
        <f>IF($K39=0,0,$K39*Inicio!$C$25/365*Inicio!$C$22)</f>
        <v/>
      </c>
      <c r="M39" s="73">
        <f>IF($B39="","",IF(SUMIF($B$5:$B$304,$B39,$F$5:$F$304)=0,"",ROUND(SUMIF($B$5:$B$304,$B39,$E$5:$E$304)/(SUMIF($B$5:$B$304,$B39,$F$5:$F$304)/Inicio!$C$22),0)))</f>
        <v/>
      </c>
      <c r="N39" s="74">
        <f>IF($B39="","",IF(AND($E39&lt;=0,$F39&gt;0),"QUIEBRE",IF(AND($F39=0,$E39&gt;0),"SIN ROTACIÓN",IF($J39="","",IF($J39&lt;Inicio!$C$23,"RIESGO DE QUIEBRE",IF($J39&gt;Inicio!$C$24*1.5,"EXCESO","SANO"))))))</f>
        <v/>
      </c>
      <c r="O39" s="74">
        <f>IF($M39="","",IF($J39="","",IF($J39&gt;2*$M39,"ENVIAR a otra tienda",IF($J39&lt;0.5*$M39,"PEDIR traslado","—"))))</f>
        <v/>
      </c>
    </row>
    <row r="40" ht="15" customHeight="1" s="47">
      <c r="A40" s="182" t="inlineStr">
        <is>
          <t>T01</t>
        </is>
      </c>
      <c r="B40" s="182" t="inlineStr">
        <is>
          <t>EL-036</t>
        </is>
      </c>
      <c r="C40" s="59">
        <f>IFERROR(INDEX(Productos!$B$5:$B$124,MATCH($B40,Productos!$A$5:$A$124,0)),"")</f>
        <v/>
      </c>
      <c r="D40" s="59">
        <f>IFERROR(INDEX(Productos!$D$5:$D$124,MATCH($B40,Productos!$A$5:$A$124,0)),"")</f>
        <v/>
      </c>
      <c r="E40" s="186" t="n">
        <v>12</v>
      </c>
      <c r="F40" s="70">
        <f>IF($B40="",0,SUMIFS(Ventas!$F$5:$F$504,Ventas!$B$5:$B$504,$A40,Ventas!$C$5:$C$504,$B40))</f>
        <v/>
      </c>
      <c r="G40" s="71">
        <f>IF($B40="",0,SUMIFS(Ventas!$L$5:$L$504,Ventas!$B$5:$B$504,$A40,Ventas!$C$5:$C$504,$B40))</f>
        <v/>
      </c>
      <c r="H40" s="71">
        <f>IF($B40="",0,SUMIFS(Ventas!$P$5:$P$504,Ventas!$B$5:$B$504,$A40,Ventas!$C$5:$C$504,$B40))</f>
        <v/>
      </c>
      <c r="I40" s="72">
        <f>IF($F40=0,0,$F40/Inicio!$C$22)</f>
        <v/>
      </c>
      <c r="J40" s="73">
        <f>IF($I40=0,"",ROUND($E40/$I40,0))</f>
        <v/>
      </c>
      <c r="K40" s="71">
        <f>IF($B40="",0,$E40*IFERROR(INDEX(Productos!$G$5:$G$124,MATCH($B40,Productos!$A$5:$A$124,0)),0))</f>
        <v/>
      </c>
      <c r="L40" s="71">
        <f>IF($K40=0,0,$K40*Inicio!$C$25/365*Inicio!$C$22)</f>
        <v/>
      </c>
      <c r="M40" s="73">
        <f>IF($B40="","",IF(SUMIF($B$5:$B$304,$B40,$F$5:$F$304)=0,"",ROUND(SUMIF($B$5:$B$304,$B40,$E$5:$E$304)/(SUMIF($B$5:$B$304,$B40,$F$5:$F$304)/Inicio!$C$22),0)))</f>
        <v/>
      </c>
      <c r="N40" s="74">
        <f>IF($B40="","",IF(AND($E40&lt;=0,$F40&gt;0),"QUIEBRE",IF(AND($F40=0,$E40&gt;0),"SIN ROTACIÓN",IF($J40="","",IF($J40&lt;Inicio!$C$23,"RIESGO DE QUIEBRE",IF($J40&gt;Inicio!$C$24*1.5,"EXCESO","SANO"))))))</f>
        <v/>
      </c>
      <c r="O40" s="74">
        <f>IF($M40="","",IF($J40="","",IF($J40&gt;2*$M40,"ENVIAR a otra tienda",IF($J40&lt;0.5*$M40,"PEDIR traslado","—"))))</f>
        <v/>
      </c>
    </row>
    <row r="41" ht="15" customHeight="1" s="47">
      <c r="A41" s="182" t="inlineStr">
        <is>
          <t>T01</t>
        </is>
      </c>
      <c r="B41" s="182" t="inlineStr">
        <is>
          <t>EL-037</t>
        </is>
      </c>
      <c r="C41" s="59">
        <f>IFERROR(INDEX(Productos!$B$5:$B$124,MATCH($B41,Productos!$A$5:$A$124,0)),"")</f>
        <v/>
      </c>
      <c r="D41" s="59">
        <f>IFERROR(INDEX(Productos!$D$5:$D$124,MATCH($B41,Productos!$A$5:$A$124,0)),"")</f>
        <v/>
      </c>
      <c r="E41" s="186" t="n">
        <v>1</v>
      </c>
      <c r="F41" s="70">
        <f>IF($B41="",0,SUMIFS(Ventas!$F$5:$F$504,Ventas!$B$5:$B$504,$A41,Ventas!$C$5:$C$504,$B41))</f>
        <v/>
      </c>
      <c r="G41" s="71">
        <f>IF($B41="",0,SUMIFS(Ventas!$L$5:$L$504,Ventas!$B$5:$B$504,$A41,Ventas!$C$5:$C$504,$B41))</f>
        <v/>
      </c>
      <c r="H41" s="71">
        <f>IF($B41="",0,SUMIFS(Ventas!$P$5:$P$504,Ventas!$B$5:$B$504,$A41,Ventas!$C$5:$C$504,$B41))</f>
        <v/>
      </c>
      <c r="I41" s="72">
        <f>IF($F41=0,0,$F41/Inicio!$C$22)</f>
        <v/>
      </c>
      <c r="J41" s="73">
        <f>IF($I41=0,"",ROUND($E41/$I41,0))</f>
        <v/>
      </c>
      <c r="K41" s="71">
        <f>IF($B41="",0,$E41*IFERROR(INDEX(Productos!$G$5:$G$124,MATCH($B41,Productos!$A$5:$A$124,0)),0))</f>
        <v/>
      </c>
      <c r="L41" s="71">
        <f>IF($K41=0,0,$K41*Inicio!$C$25/365*Inicio!$C$22)</f>
        <v/>
      </c>
      <c r="M41" s="73">
        <f>IF($B41="","",IF(SUMIF($B$5:$B$304,$B41,$F$5:$F$304)=0,"",ROUND(SUMIF($B$5:$B$304,$B41,$E$5:$E$304)/(SUMIF($B$5:$B$304,$B41,$F$5:$F$304)/Inicio!$C$22),0)))</f>
        <v/>
      </c>
      <c r="N41" s="74">
        <f>IF($B41="","",IF(AND($E41&lt;=0,$F41&gt;0),"QUIEBRE",IF(AND($F41=0,$E41&gt;0),"SIN ROTACIÓN",IF($J41="","",IF($J41&lt;Inicio!$C$23,"RIESGO DE QUIEBRE",IF($J41&gt;Inicio!$C$24*1.5,"EXCESO","SANO"))))))</f>
        <v/>
      </c>
      <c r="O41" s="74">
        <f>IF($M41="","",IF($J41="","",IF($J41&gt;2*$M41,"ENVIAR a otra tienda",IF($J41&lt;0.5*$M41,"PEDIR traslado","—"))))</f>
        <v/>
      </c>
    </row>
    <row r="42" ht="15" customHeight="1" s="47">
      <c r="A42" s="182" t="inlineStr">
        <is>
          <t>T01</t>
        </is>
      </c>
      <c r="B42" s="182" t="inlineStr">
        <is>
          <t>EL-038</t>
        </is>
      </c>
      <c r="C42" s="59">
        <f>IFERROR(INDEX(Productos!$B$5:$B$124,MATCH($B42,Productos!$A$5:$A$124,0)),"")</f>
        <v/>
      </c>
      <c r="D42" s="59">
        <f>IFERROR(INDEX(Productos!$D$5:$D$124,MATCH($B42,Productos!$A$5:$A$124,0)),"")</f>
        <v/>
      </c>
      <c r="E42" s="186" t="n">
        <v>10</v>
      </c>
      <c r="F42" s="70">
        <f>IF($B42="",0,SUMIFS(Ventas!$F$5:$F$504,Ventas!$B$5:$B$504,$A42,Ventas!$C$5:$C$504,$B42))</f>
        <v/>
      </c>
      <c r="G42" s="71">
        <f>IF($B42="",0,SUMIFS(Ventas!$L$5:$L$504,Ventas!$B$5:$B$504,$A42,Ventas!$C$5:$C$504,$B42))</f>
        <v/>
      </c>
      <c r="H42" s="71">
        <f>IF($B42="",0,SUMIFS(Ventas!$P$5:$P$504,Ventas!$B$5:$B$504,$A42,Ventas!$C$5:$C$504,$B42))</f>
        <v/>
      </c>
      <c r="I42" s="72">
        <f>IF($F42=0,0,$F42/Inicio!$C$22)</f>
        <v/>
      </c>
      <c r="J42" s="73">
        <f>IF($I42=0,"",ROUND($E42/$I42,0))</f>
        <v/>
      </c>
      <c r="K42" s="71">
        <f>IF($B42="",0,$E42*IFERROR(INDEX(Productos!$G$5:$G$124,MATCH($B42,Productos!$A$5:$A$124,0)),0))</f>
        <v/>
      </c>
      <c r="L42" s="71">
        <f>IF($K42=0,0,$K42*Inicio!$C$25/365*Inicio!$C$22)</f>
        <v/>
      </c>
      <c r="M42" s="73">
        <f>IF($B42="","",IF(SUMIF($B$5:$B$304,$B42,$F$5:$F$304)=0,"",ROUND(SUMIF($B$5:$B$304,$B42,$E$5:$E$304)/(SUMIF($B$5:$B$304,$B42,$F$5:$F$304)/Inicio!$C$22),0)))</f>
        <v/>
      </c>
      <c r="N42" s="74">
        <f>IF($B42="","",IF(AND($E42&lt;=0,$F42&gt;0),"QUIEBRE",IF(AND($F42=0,$E42&gt;0),"SIN ROTACIÓN",IF($J42="","",IF($J42&lt;Inicio!$C$23,"RIESGO DE QUIEBRE",IF($J42&gt;Inicio!$C$24*1.5,"EXCESO","SANO"))))))</f>
        <v/>
      </c>
      <c r="O42" s="74">
        <f>IF($M42="","",IF($J42="","",IF($J42&gt;2*$M42,"ENVIAR a otra tienda",IF($J42&lt;0.5*$M42,"PEDIR traslado","—"))))</f>
        <v/>
      </c>
    </row>
    <row r="43" ht="15" customHeight="1" s="47">
      <c r="A43" s="182" t="inlineStr">
        <is>
          <t>T01</t>
        </is>
      </c>
      <c r="B43" s="182" t="inlineStr">
        <is>
          <t>EL-039</t>
        </is>
      </c>
      <c r="C43" s="59">
        <f>IFERROR(INDEX(Productos!$B$5:$B$124,MATCH($B43,Productos!$A$5:$A$124,0)),"")</f>
        <v/>
      </c>
      <c r="D43" s="59">
        <f>IFERROR(INDEX(Productos!$D$5:$D$124,MATCH($B43,Productos!$A$5:$A$124,0)),"")</f>
        <v/>
      </c>
      <c r="E43" s="186" t="n">
        <v>28</v>
      </c>
      <c r="F43" s="70">
        <f>IF($B43="",0,SUMIFS(Ventas!$F$5:$F$504,Ventas!$B$5:$B$504,$A43,Ventas!$C$5:$C$504,$B43))</f>
        <v/>
      </c>
      <c r="G43" s="71">
        <f>IF($B43="",0,SUMIFS(Ventas!$L$5:$L$504,Ventas!$B$5:$B$504,$A43,Ventas!$C$5:$C$504,$B43))</f>
        <v/>
      </c>
      <c r="H43" s="71">
        <f>IF($B43="",0,SUMIFS(Ventas!$P$5:$P$504,Ventas!$B$5:$B$504,$A43,Ventas!$C$5:$C$504,$B43))</f>
        <v/>
      </c>
      <c r="I43" s="72">
        <f>IF($F43=0,0,$F43/Inicio!$C$22)</f>
        <v/>
      </c>
      <c r="J43" s="73">
        <f>IF($I43=0,"",ROUND($E43/$I43,0))</f>
        <v/>
      </c>
      <c r="K43" s="71">
        <f>IF($B43="",0,$E43*IFERROR(INDEX(Productos!$G$5:$G$124,MATCH($B43,Productos!$A$5:$A$124,0)),0))</f>
        <v/>
      </c>
      <c r="L43" s="71">
        <f>IF($K43=0,0,$K43*Inicio!$C$25/365*Inicio!$C$22)</f>
        <v/>
      </c>
      <c r="M43" s="73">
        <f>IF($B43="","",IF(SUMIF($B$5:$B$304,$B43,$F$5:$F$304)=0,"",ROUND(SUMIF($B$5:$B$304,$B43,$E$5:$E$304)/(SUMIF($B$5:$B$304,$B43,$F$5:$F$304)/Inicio!$C$22),0)))</f>
        <v/>
      </c>
      <c r="N43" s="74">
        <f>IF($B43="","",IF(AND($E43&lt;=0,$F43&gt;0),"QUIEBRE",IF(AND($F43=0,$E43&gt;0),"SIN ROTACIÓN",IF($J43="","",IF($J43&lt;Inicio!$C$23,"RIESGO DE QUIEBRE",IF($J43&gt;Inicio!$C$24*1.5,"EXCESO","SANO"))))))</f>
        <v/>
      </c>
      <c r="O43" s="74">
        <f>IF($M43="","",IF($J43="","",IF($J43&gt;2*$M43,"ENVIAR a otra tienda",IF($J43&lt;0.5*$M43,"PEDIR traslado","—"))))</f>
        <v/>
      </c>
    </row>
    <row r="44" ht="15" customHeight="1" s="47">
      <c r="A44" s="182" t="inlineStr">
        <is>
          <t>T01</t>
        </is>
      </c>
      <c r="B44" s="182" t="inlineStr">
        <is>
          <t>EL-040</t>
        </is>
      </c>
      <c r="C44" s="59">
        <f>IFERROR(INDEX(Productos!$B$5:$B$124,MATCH($B44,Productos!$A$5:$A$124,0)),"")</f>
        <v/>
      </c>
      <c r="D44" s="59">
        <f>IFERROR(INDEX(Productos!$D$5:$D$124,MATCH($B44,Productos!$A$5:$A$124,0)),"")</f>
        <v/>
      </c>
      <c r="E44" s="186" t="n">
        <v>0</v>
      </c>
      <c r="F44" s="70">
        <f>IF($B44="",0,SUMIFS(Ventas!$F$5:$F$504,Ventas!$B$5:$B$504,$A44,Ventas!$C$5:$C$504,$B44))</f>
        <v/>
      </c>
      <c r="G44" s="71">
        <f>IF($B44="",0,SUMIFS(Ventas!$L$5:$L$504,Ventas!$B$5:$B$504,$A44,Ventas!$C$5:$C$504,$B44))</f>
        <v/>
      </c>
      <c r="H44" s="71">
        <f>IF($B44="",0,SUMIFS(Ventas!$P$5:$P$504,Ventas!$B$5:$B$504,$A44,Ventas!$C$5:$C$504,$B44))</f>
        <v/>
      </c>
      <c r="I44" s="72">
        <f>IF($F44=0,0,$F44/Inicio!$C$22)</f>
        <v/>
      </c>
      <c r="J44" s="73">
        <f>IF($I44=0,"",ROUND($E44/$I44,0))</f>
        <v/>
      </c>
      <c r="K44" s="71">
        <f>IF($B44="",0,$E44*IFERROR(INDEX(Productos!$G$5:$G$124,MATCH($B44,Productos!$A$5:$A$124,0)),0))</f>
        <v/>
      </c>
      <c r="L44" s="71">
        <f>IF($K44=0,0,$K44*Inicio!$C$25/365*Inicio!$C$22)</f>
        <v/>
      </c>
      <c r="M44" s="73">
        <f>IF($B44="","",IF(SUMIF($B$5:$B$304,$B44,$F$5:$F$304)=0,"",ROUND(SUMIF($B$5:$B$304,$B44,$E$5:$E$304)/(SUMIF($B$5:$B$304,$B44,$F$5:$F$304)/Inicio!$C$22),0)))</f>
        <v/>
      </c>
      <c r="N44" s="74">
        <f>IF($B44="","",IF(AND($E44&lt;=0,$F44&gt;0),"QUIEBRE",IF(AND($F44=0,$E44&gt;0),"SIN ROTACIÓN",IF($J44="","",IF($J44&lt;Inicio!$C$23,"RIESGO DE QUIEBRE",IF($J44&gt;Inicio!$C$24*1.5,"EXCESO","SANO"))))))</f>
        <v/>
      </c>
      <c r="O44" s="74">
        <f>IF($M44="","",IF($J44="","",IF($J44&gt;2*$M44,"ENVIAR a otra tienda",IF($J44&lt;0.5*$M44,"PEDIR traslado","—"))))</f>
        <v/>
      </c>
    </row>
    <row r="45" ht="15" customHeight="1" s="47">
      <c r="A45" s="182" t="inlineStr">
        <is>
          <t>T01</t>
        </is>
      </c>
      <c r="B45" s="182" t="inlineStr">
        <is>
          <t>EL-041</t>
        </is>
      </c>
      <c r="C45" s="59">
        <f>IFERROR(INDEX(Productos!$B$5:$B$124,MATCH($B45,Productos!$A$5:$A$124,0)),"")</f>
        <v/>
      </c>
      <c r="D45" s="59">
        <f>IFERROR(INDEX(Productos!$D$5:$D$124,MATCH($B45,Productos!$A$5:$A$124,0)),"")</f>
        <v/>
      </c>
      <c r="E45" s="186" t="n">
        <v>3</v>
      </c>
      <c r="F45" s="70">
        <f>IF($B45="",0,SUMIFS(Ventas!$F$5:$F$504,Ventas!$B$5:$B$504,$A45,Ventas!$C$5:$C$504,$B45))</f>
        <v/>
      </c>
      <c r="G45" s="71">
        <f>IF($B45="",0,SUMIFS(Ventas!$L$5:$L$504,Ventas!$B$5:$B$504,$A45,Ventas!$C$5:$C$504,$B45))</f>
        <v/>
      </c>
      <c r="H45" s="71">
        <f>IF($B45="",0,SUMIFS(Ventas!$P$5:$P$504,Ventas!$B$5:$B$504,$A45,Ventas!$C$5:$C$504,$B45))</f>
        <v/>
      </c>
      <c r="I45" s="72">
        <f>IF($F45=0,0,$F45/Inicio!$C$22)</f>
        <v/>
      </c>
      <c r="J45" s="73">
        <f>IF($I45=0,"",ROUND($E45/$I45,0))</f>
        <v/>
      </c>
      <c r="K45" s="71">
        <f>IF($B45="",0,$E45*IFERROR(INDEX(Productos!$G$5:$G$124,MATCH($B45,Productos!$A$5:$A$124,0)),0))</f>
        <v/>
      </c>
      <c r="L45" s="71">
        <f>IF($K45=0,0,$K45*Inicio!$C$25/365*Inicio!$C$22)</f>
        <v/>
      </c>
      <c r="M45" s="73">
        <f>IF($B45="","",IF(SUMIF($B$5:$B$304,$B45,$F$5:$F$304)=0,"",ROUND(SUMIF($B$5:$B$304,$B45,$E$5:$E$304)/(SUMIF($B$5:$B$304,$B45,$F$5:$F$304)/Inicio!$C$22),0)))</f>
        <v/>
      </c>
      <c r="N45" s="74">
        <f>IF($B45="","",IF(AND($E45&lt;=0,$F45&gt;0),"QUIEBRE",IF(AND($F45=0,$E45&gt;0),"SIN ROTACIÓN",IF($J45="","",IF($J45&lt;Inicio!$C$23,"RIESGO DE QUIEBRE",IF($J45&gt;Inicio!$C$24*1.5,"EXCESO","SANO"))))))</f>
        <v/>
      </c>
      <c r="O45" s="74">
        <f>IF($M45="","",IF($J45="","",IF($J45&gt;2*$M45,"ENVIAR a otra tienda",IF($J45&lt;0.5*$M45,"PEDIR traslado","—"))))</f>
        <v/>
      </c>
    </row>
    <row r="46" ht="15" customHeight="1" s="47">
      <c r="A46" s="182" t="inlineStr">
        <is>
          <t>T01</t>
        </is>
      </c>
      <c r="B46" s="182" t="inlineStr">
        <is>
          <t>EL-042</t>
        </is>
      </c>
      <c r="C46" s="59">
        <f>IFERROR(INDEX(Productos!$B$5:$B$124,MATCH($B46,Productos!$A$5:$A$124,0)),"")</f>
        <v/>
      </c>
      <c r="D46" s="59">
        <f>IFERROR(INDEX(Productos!$D$5:$D$124,MATCH($B46,Productos!$A$5:$A$124,0)),"")</f>
        <v/>
      </c>
      <c r="E46" s="186" t="n">
        <v>6</v>
      </c>
      <c r="F46" s="70">
        <f>IF($B46="",0,SUMIFS(Ventas!$F$5:$F$504,Ventas!$B$5:$B$504,$A46,Ventas!$C$5:$C$504,$B46))</f>
        <v/>
      </c>
      <c r="G46" s="71">
        <f>IF($B46="",0,SUMIFS(Ventas!$L$5:$L$504,Ventas!$B$5:$B$504,$A46,Ventas!$C$5:$C$504,$B46))</f>
        <v/>
      </c>
      <c r="H46" s="71">
        <f>IF($B46="",0,SUMIFS(Ventas!$P$5:$P$504,Ventas!$B$5:$B$504,$A46,Ventas!$C$5:$C$504,$B46))</f>
        <v/>
      </c>
      <c r="I46" s="72">
        <f>IF($F46=0,0,$F46/Inicio!$C$22)</f>
        <v/>
      </c>
      <c r="J46" s="73">
        <f>IF($I46=0,"",ROUND($E46/$I46,0))</f>
        <v/>
      </c>
      <c r="K46" s="71">
        <f>IF($B46="",0,$E46*IFERROR(INDEX(Productos!$G$5:$G$124,MATCH($B46,Productos!$A$5:$A$124,0)),0))</f>
        <v/>
      </c>
      <c r="L46" s="71">
        <f>IF($K46=0,0,$K46*Inicio!$C$25/365*Inicio!$C$22)</f>
        <v/>
      </c>
      <c r="M46" s="73">
        <f>IF($B46="","",IF(SUMIF($B$5:$B$304,$B46,$F$5:$F$304)=0,"",ROUND(SUMIF($B$5:$B$304,$B46,$E$5:$E$304)/(SUMIF($B$5:$B$304,$B46,$F$5:$F$304)/Inicio!$C$22),0)))</f>
        <v/>
      </c>
      <c r="N46" s="74">
        <f>IF($B46="","",IF(AND($E46&lt;=0,$F46&gt;0),"QUIEBRE",IF(AND($F46=0,$E46&gt;0),"SIN ROTACIÓN",IF($J46="","",IF($J46&lt;Inicio!$C$23,"RIESGO DE QUIEBRE",IF($J46&gt;Inicio!$C$24*1.5,"EXCESO","SANO"))))))</f>
        <v/>
      </c>
      <c r="O46" s="74">
        <f>IF($M46="","",IF($J46="","",IF($J46&gt;2*$M46,"ENVIAR a otra tienda",IF($J46&lt;0.5*$M46,"PEDIR traslado","—"))))</f>
        <v/>
      </c>
    </row>
    <row r="47" ht="15" customHeight="1" s="47">
      <c r="A47" s="182" t="inlineStr">
        <is>
          <t>T01</t>
        </is>
      </c>
      <c r="B47" s="182" t="inlineStr">
        <is>
          <t>EL-043</t>
        </is>
      </c>
      <c r="C47" s="59">
        <f>IFERROR(INDEX(Productos!$B$5:$B$124,MATCH($B47,Productos!$A$5:$A$124,0)),"")</f>
        <v/>
      </c>
      <c r="D47" s="59">
        <f>IFERROR(INDEX(Productos!$D$5:$D$124,MATCH($B47,Productos!$A$5:$A$124,0)),"")</f>
        <v/>
      </c>
      <c r="E47" s="186" t="n">
        <v>4</v>
      </c>
      <c r="F47" s="70">
        <f>IF($B47="",0,SUMIFS(Ventas!$F$5:$F$504,Ventas!$B$5:$B$504,$A47,Ventas!$C$5:$C$504,$B47))</f>
        <v/>
      </c>
      <c r="G47" s="71">
        <f>IF($B47="",0,SUMIFS(Ventas!$L$5:$L$504,Ventas!$B$5:$B$504,$A47,Ventas!$C$5:$C$504,$B47))</f>
        <v/>
      </c>
      <c r="H47" s="71">
        <f>IF($B47="",0,SUMIFS(Ventas!$P$5:$P$504,Ventas!$B$5:$B$504,$A47,Ventas!$C$5:$C$504,$B47))</f>
        <v/>
      </c>
      <c r="I47" s="72">
        <f>IF($F47=0,0,$F47/Inicio!$C$22)</f>
        <v/>
      </c>
      <c r="J47" s="73">
        <f>IF($I47=0,"",ROUND($E47/$I47,0))</f>
        <v/>
      </c>
      <c r="K47" s="71">
        <f>IF($B47="",0,$E47*IFERROR(INDEX(Productos!$G$5:$G$124,MATCH($B47,Productos!$A$5:$A$124,0)),0))</f>
        <v/>
      </c>
      <c r="L47" s="71">
        <f>IF($K47=0,0,$K47*Inicio!$C$25/365*Inicio!$C$22)</f>
        <v/>
      </c>
      <c r="M47" s="73">
        <f>IF($B47="","",IF(SUMIF($B$5:$B$304,$B47,$F$5:$F$304)=0,"",ROUND(SUMIF($B$5:$B$304,$B47,$E$5:$E$304)/(SUMIF($B$5:$B$304,$B47,$F$5:$F$304)/Inicio!$C$22),0)))</f>
        <v/>
      </c>
      <c r="N47" s="74">
        <f>IF($B47="","",IF(AND($E47&lt;=0,$F47&gt;0),"QUIEBRE",IF(AND($F47=0,$E47&gt;0),"SIN ROTACIÓN",IF($J47="","",IF($J47&lt;Inicio!$C$23,"RIESGO DE QUIEBRE",IF($J47&gt;Inicio!$C$24*1.5,"EXCESO","SANO"))))))</f>
        <v/>
      </c>
      <c r="O47" s="74">
        <f>IF($M47="","",IF($J47="","",IF($J47&gt;2*$M47,"ENVIAR a otra tienda",IF($J47&lt;0.5*$M47,"PEDIR traslado","—"))))</f>
        <v/>
      </c>
    </row>
    <row r="48" ht="15" customHeight="1" s="47">
      <c r="A48" s="182" t="inlineStr">
        <is>
          <t>T01</t>
        </is>
      </c>
      <c r="B48" s="182" t="inlineStr">
        <is>
          <t>EL-044</t>
        </is>
      </c>
      <c r="C48" s="59">
        <f>IFERROR(INDEX(Productos!$B$5:$B$124,MATCH($B48,Productos!$A$5:$A$124,0)),"")</f>
        <v/>
      </c>
      <c r="D48" s="59">
        <f>IFERROR(INDEX(Productos!$D$5:$D$124,MATCH($B48,Productos!$A$5:$A$124,0)),"")</f>
        <v/>
      </c>
      <c r="E48" s="186" t="n">
        <v>12</v>
      </c>
      <c r="F48" s="70">
        <f>IF($B48="",0,SUMIFS(Ventas!$F$5:$F$504,Ventas!$B$5:$B$504,$A48,Ventas!$C$5:$C$504,$B48))</f>
        <v/>
      </c>
      <c r="G48" s="71">
        <f>IF($B48="",0,SUMIFS(Ventas!$L$5:$L$504,Ventas!$B$5:$B$504,$A48,Ventas!$C$5:$C$504,$B48))</f>
        <v/>
      </c>
      <c r="H48" s="71">
        <f>IF($B48="",0,SUMIFS(Ventas!$P$5:$P$504,Ventas!$B$5:$B$504,$A48,Ventas!$C$5:$C$504,$B48))</f>
        <v/>
      </c>
      <c r="I48" s="72">
        <f>IF($F48=0,0,$F48/Inicio!$C$22)</f>
        <v/>
      </c>
      <c r="J48" s="73">
        <f>IF($I48=0,"",ROUND($E48/$I48,0))</f>
        <v/>
      </c>
      <c r="K48" s="71">
        <f>IF($B48="",0,$E48*IFERROR(INDEX(Productos!$G$5:$G$124,MATCH($B48,Productos!$A$5:$A$124,0)),0))</f>
        <v/>
      </c>
      <c r="L48" s="71">
        <f>IF($K48=0,0,$K48*Inicio!$C$25/365*Inicio!$C$22)</f>
        <v/>
      </c>
      <c r="M48" s="73">
        <f>IF($B48="","",IF(SUMIF($B$5:$B$304,$B48,$F$5:$F$304)=0,"",ROUND(SUMIF($B$5:$B$304,$B48,$E$5:$E$304)/(SUMIF($B$5:$B$304,$B48,$F$5:$F$304)/Inicio!$C$22),0)))</f>
        <v/>
      </c>
      <c r="N48" s="74">
        <f>IF($B48="","",IF(AND($E48&lt;=0,$F48&gt;0),"QUIEBRE",IF(AND($F48=0,$E48&gt;0),"SIN ROTACIÓN",IF($J48="","",IF($J48&lt;Inicio!$C$23,"RIESGO DE QUIEBRE",IF($J48&gt;Inicio!$C$24*1.5,"EXCESO","SANO"))))))</f>
        <v/>
      </c>
      <c r="O48" s="74">
        <f>IF($M48="","",IF($J48="","",IF($J48&gt;2*$M48,"ENVIAR a otra tienda",IF($J48&lt;0.5*$M48,"PEDIR traslado","—"))))</f>
        <v/>
      </c>
    </row>
    <row r="49" ht="15" customHeight="1" s="47">
      <c r="A49" s="182" t="inlineStr">
        <is>
          <t>T01</t>
        </is>
      </c>
      <c r="B49" s="182" t="inlineStr">
        <is>
          <t>EL-045</t>
        </is>
      </c>
      <c r="C49" s="59">
        <f>IFERROR(INDEX(Productos!$B$5:$B$124,MATCH($B49,Productos!$A$5:$A$124,0)),"")</f>
        <v/>
      </c>
      <c r="D49" s="59">
        <f>IFERROR(INDEX(Productos!$D$5:$D$124,MATCH($B49,Productos!$A$5:$A$124,0)),"")</f>
        <v/>
      </c>
      <c r="E49" s="186" t="n">
        <v>9</v>
      </c>
      <c r="F49" s="70">
        <f>IF($B49="",0,SUMIFS(Ventas!$F$5:$F$504,Ventas!$B$5:$B$504,$A49,Ventas!$C$5:$C$504,$B49))</f>
        <v/>
      </c>
      <c r="G49" s="71">
        <f>IF($B49="",0,SUMIFS(Ventas!$L$5:$L$504,Ventas!$B$5:$B$504,$A49,Ventas!$C$5:$C$504,$B49))</f>
        <v/>
      </c>
      <c r="H49" s="71">
        <f>IF($B49="",0,SUMIFS(Ventas!$P$5:$P$504,Ventas!$B$5:$B$504,$A49,Ventas!$C$5:$C$504,$B49))</f>
        <v/>
      </c>
      <c r="I49" s="72">
        <f>IF($F49=0,0,$F49/Inicio!$C$22)</f>
        <v/>
      </c>
      <c r="J49" s="73">
        <f>IF($I49=0,"",ROUND($E49/$I49,0))</f>
        <v/>
      </c>
      <c r="K49" s="71">
        <f>IF($B49="",0,$E49*IFERROR(INDEX(Productos!$G$5:$G$124,MATCH($B49,Productos!$A$5:$A$124,0)),0))</f>
        <v/>
      </c>
      <c r="L49" s="71">
        <f>IF($K49=0,0,$K49*Inicio!$C$25/365*Inicio!$C$22)</f>
        <v/>
      </c>
      <c r="M49" s="73">
        <f>IF($B49="","",IF(SUMIF($B$5:$B$304,$B49,$F$5:$F$304)=0,"",ROUND(SUMIF($B$5:$B$304,$B49,$E$5:$E$304)/(SUMIF($B$5:$B$304,$B49,$F$5:$F$304)/Inicio!$C$22),0)))</f>
        <v/>
      </c>
      <c r="N49" s="74">
        <f>IF($B49="","",IF(AND($E49&lt;=0,$F49&gt;0),"QUIEBRE",IF(AND($F49=0,$E49&gt;0),"SIN ROTACIÓN",IF($J49="","",IF($J49&lt;Inicio!$C$23,"RIESGO DE QUIEBRE",IF($J49&gt;Inicio!$C$24*1.5,"EXCESO","SANO"))))))</f>
        <v/>
      </c>
      <c r="O49" s="74">
        <f>IF($M49="","",IF($J49="","",IF($J49&gt;2*$M49,"ENVIAR a otra tienda",IF($J49&lt;0.5*$M49,"PEDIR traslado","—"))))</f>
        <v/>
      </c>
    </row>
    <row r="50" ht="15" customHeight="1" s="47">
      <c r="A50" s="182" t="inlineStr">
        <is>
          <t>T01</t>
        </is>
      </c>
      <c r="B50" s="182" t="inlineStr">
        <is>
          <t>EL-046</t>
        </is>
      </c>
      <c r="C50" s="59">
        <f>IFERROR(INDEX(Productos!$B$5:$B$124,MATCH($B50,Productos!$A$5:$A$124,0)),"")</f>
        <v/>
      </c>
      <c r="D50" s="59">
        <f>IFERROR(INDEX(Productos!$D$5:$D$124,MATCH($B50,Productos!$A$5:$A$124,0)),"")</f>
        <v/>
      </c>
      <c r="E50" s="186" t="n">
        <v>22</v>
      </c>
      <c r="F50" s="70">
        <f>IF($B50="",0,SUMIFS(Ventas!$F$5:$F$504,Ventas!$B$5:$B$504,$A50,Ventas!$C$5:$C$504,$B50))</f>
        <v/>
      </c>
      <c r="G50" s="71">
        <f>IF($B50="",0,SUMIFS(Ventas!$L$5:$L$504,Ventas!$B$5:$B$504,$A50,Ventas!$C$5:$C$504,$B50))</f>
        <v/>
      </c>
      <c r="H50" s="71">
        <f>IF($B50="",0,SUMIFS(Ventas!$P$5:$P$504,Ventas!$B$5:$B$504,$A50,Ventas!$C$5:$C$504,$B50))</f>
        <v/>
      </c>
      <c r="I50" s="72">
        <f>IF($F50=0,0,$F50/Inicio!$C$22)</f>
        <v/>
      </c>
      <c r="J50" s="73">
        <f>IF($I50=0,"",ROUND($E50/$I50,0))</f>
        <v/>
      </c>
      <c r="K50" s="71">
        <f>IF($B50="",0,$E50*IFERROR(INDEX(Productos!$G$5:$G$124,MATCH($B50,Productos!$A$5:$A$124,0)),0))</f>
        <v/>
      </c>
      <c r="L50" s="71">
        <f>IF($K50=0,0,$K50*Inicio!$C$25/365*Inicio!$C$22)</f>
        <v/>
      </c>
      <c r="M50" s="73">
        <f>IF($B50="","",IF(SUMIF($B$5:$B$304,$B50,$F$5:$F$304)=0,"",ROUND(SUMIF($B$5:$B$304,$B50,$E$5:$E$304)/(SUMIF($B$5:$B$304,$B50,$F$5:$F$304)/Inicio!$C$22),0)))</f>
        <v/>
      </c>
      <c r="N50" s="74">
        <f>IF($B50="","",IF(AND($E50&lt;=0,$F50&gt;0),"QUIEBRE",IF(AND($F50=0,$E50&gt;0),"SIN ROTACIÓN",IF($J50="","",IF($J50&lt;Inicio!$C$23,"RIESGO DE QUIEBRE",IF($J50&gt;Inicio!$C$24*1.5,"EXCESO","SANO"))))))</f>
        <v/>
      </c>
      <c r="O50" s="74">
        <f>IF($M50="","",IF($J50="","",IF($J50&gt;2*$M50,"ENVIAR a otra tienda",IF($J50&lt;0.5*$M50,"PEDIR traslado","—"))))</f>
        <v/>
      </c>
    </row>
    <row r="51" ht="15" customHeight="1" s="47">
      <c r="A51" s="182" t="inlineStr">
        <is>
          <t>T01</t>
        </is>
      </c>
      <c r="B51" s="182" t="inlineStr">
        <is>
          <t>EL-047</t>
        </is>
      </c>
      <c r="C51" s="59">
        <f>IFERROR(INDEX(Productos!$B$5:$B$124,MATCH($B51,Productos!$A$5:$A$124,0)),"")</f>
        <v/>
      </c>
      <c r="D51" s="59">
        <f>IFERROR(INDEX(Productos!$D$5:$D$124,MATCH($B51,Productos!$A$5:$A$124,0)),"")</f>
        <v/>
      </c>
      <c r="E51" s="186" t="n">
        <v>1</v>
      </c>
      <c r="F51" s="70">
        <f>IF($B51="",0,SUMIFS(Ventas!$F$5:$F$504,Ventas!$B$5:$B$504,$A51,Ventas!$C$5:$C$504,$B51))</f>
        <v/>
      </c>
      <c r="G51" s="71">
        <f>IF($B51="",0,SUMIFS(Ventas!$L$5:$L$504,Ventas!$B$5:$B$504,$A51,Ventas!$C$5:$C$504,$B51))</f>
        <v/>
      </c>
      <c r="H51" s="71">
        <f>IF($B51="",0,SUMIFS(Ventas!$P$5:$P$504,Ventas!$B$5:$B$504,$A51,Ventas!$C$5:$C$504,$B51))</f>
        <v/>
      </c>
      <c r="I51" s="72">
        <f>IF($F51=0,0,$F51/Inicio!$C$22)</f>
        <v/>
      </c>
      <c r="J51" s="73">
        <f>IF($I51=0,"",ROUND($E51/$I51,0))</f>
        <v/>
      </c>
      <c r="K51" s="71">
        <f>IF($B51="",0,$E51*IFERROR(INDEX(Productos!$G$5:$G$124,MATCH($B51,Productos!$A$5:$A$124,0)),0))</f>
        <v/>
      </c>
      <c r="L51" s="71">
        <f>IF($K51=0,0,$K51*Inicio!$C$25/365*Inicio!$C$22)</f>
        <v/>
      </c>
      <c r="M51" s="73">
        <f>IF($B51="","",IF(SUMIF($B$5:$B$304,$B51,$F$5:$F$304)=0,"",ROUND(SUMIF($B$5:$B$304,$B51,$E$5:$E$304)/(SUMIF($B$5:$B$304,$B51,$F$5:$F$304)/Inicio!$C$22),0)))</f>
        <v/>
      </c>
      <c r="N51" s="74">
        <f>IF($B51="","",IF(AND($E51&lt;=0,$F51&gt;0),"QUIEBRE",IF(AND($F51=0,$E51&gt;0),"SIN ROTACIÓN",IF($J51="","",IF($J51&lt;Inicio!$C$23,"RIESGO DE QUIEBRE",IF($J51&gt;Inicio!$C$24*1.5,"EXCESO","SANO"))))))</f>
        <v/>
      </c>
      <c r="O51" s="74">
        <f>IF($M51="","",IF($J51="","",IF($J51&gt;2*$M51,"ENVIAR a otra tienda",IF($J51&lt;0.5*$M51,"PEDIR traslado","—"))))</f>
        <v/>
      </c>
    </row>
    <row r="52" ht="15" customHeight="1" s="47">
      <c r="A52" s="182" t="inlineStr">
        <is>
          <t>T01</t>
        </is>
      </c>
      <c r="B52" s="182" t="inlineStr">
        <is>
          <t>EL-048</t>
        </is>
      </c>
      <c r="C52" s="59">
        <f>IFERROR(INDEX(Productos!$B$5:$B$124,MATCH($B52,Productos!$A$5:$A$124,0)),"")</f>
        <v/>
      </c>
      <c r="D52" s="59">
        <f>IFERROR(INDEX(Productos!$D$5:$D$124,MATCH($B52,Productos!$A$5:$A$124,0)),"")</f>
        <v/>
      </c>
      <c r="E52" s="186" t="n">
        <v>5</v>
      </c>
      <c r="F52" s="70">
        <f>IF($B52="",0,SUMIFS(Ventas!$F$5:$F$504,Ventas!$B$5:$B$504,$A52,Ventas!$C$5:$C$504,$B52))</f>
        <v/>
      </c>
      <c r="G52" s="71">
        <f>IF($B52="",0,SUMIFS(Ventas!$L$5:$L$504,Ventas!$B$5:$B$504,$A52,Ventas!$C$5:$C$504,$B52))</f>
        <v/>
      </c>
      <c r="H52" s="71">
        <f>IF($B52="",0,SUMIFS(Ventas!$P$5:$P$504,Ventas!$B$5:$B$504,$A52,Ventas!$C$5:$C$504,$B52))</f>
        <v/>
      </c>
      <c r="I52" s="72">
        <f>IF($F52=0,0,$F52/Inicio!$C$22)</f>
        <v/>
      </c>
      <c r="J52" s="73">
        <f>IF($I52=0,"",ROUND($E52/$I52,0))</f>
        <v/>
      </c>
      <c r="K52" s="71">
        <f>IF($B52="",0,$E52*IFERROR(INDEX(Productos!$G$5:$G$124,MATCH($B52,Productos!$A$5:$A$124,0)),0))</f>
        <v/>
      </c>
      <c r="L52" s="71">
        <f>IF($K52=0,0,$K52*Inicio!$C$25/365*Inicio!$C$22)</f>
        <v/>
      </c>
      <c r="M52" s="73">
        <f>IF($B52="","",IF(SUMIF($B$5:$B$304,$B52,$F$5:$F$304)=0,"",ROUND(SUMIF($B$5:$B$304,$B52,$E$5:$E$304)/(SUMIF($B$5:$B$304,$B52,$F$5:$F$304)/Inicio!$C$22),0)))</f>
        <v/>
      </c>
      <c r="N52" s="74">
        <f>IF($B52="","",IF(AND($E52&lt;=0,$F52&gt;0),"QUIEBRE",IF(AND($F52=0,$E52&gt;0),"SIN ROTACIÓN",IF($J52="","",IF($J52&lt;Inicio!$C$23,"RIESGO DE QUIEBRE",IF($J52&gt;Inicio!$C$24*1.5,"EXCESO","SANO"))))))</f>
        <v/>
      </c>
      <c r="O52" s="74">
        <f>IF($M52="","",IF($J52="","",IF($J52&gt;2*$M52,"ENVIAR a otra tienda",IF($J52&lt;0.5*$M52,"PEDIR traslado","—"))))</f>
        <v/>
      </c>
    </row>
    <row r="53" ht="15" customHeight="1" s="47">
      <c r="A53" s="182" t="inlineStr">
        <is>
          <t>T01</t>
        </is>
      </c>
      <c r="B53" s="182" t="inlineStr">
        <is>
          <t>EL-049</t>
        </is>
      </c>
      <c r="C53" s="59">
        <f>IFERROR(INDEX(Productos!$B$5:$B$124,MATCH($B53,Productos!$A$5:$A$124,0)),"")</f>
        <v/>
      </c>
      <c r="D53" s="59">
        <f>IFERROR(INDEX(Productos!$D$5:$D$124,MATCH($B53,Productos!$A$5:$A$124,0)),"")</f>
        <v/>
      </c>
      <c r="E53" s="186" t="n">
        <v>36</v>
      </c>
      <c r="F53" s="70">
        <f>IF($B53="",0,SUMIFS(Ventas!$F$5:$F$504,Ventas!$B$5:$B$504,$A53,Ventas!$C$5:$C$504,$B53))</f>
        <v/>
      </c>
      <c r="G53" s="71">
        <f>IF($B53="",0,SUMIFS(Ventas!$L$5:$L$504,Ventas!$B$5:$B$504,$A53,Ventas!$C$5:$C$504,$B53))</f>
        <v/>
      </c>
      <c r="H53" s="71">
        <f>IF($B53="",0,SUMIFS(Ventas!$P$5:$P$504,Ventas!$B$5:$B$504,$A53,Ventas!$C$5:$C$504,$B53))</f>
        <v/>
      </c>
      <c r="I53" s="72">
        <f>IF($F53=0,0,$F53/Inicio!$C$22)</f>
        <v/>
      </c>
      <c r="J53" s="73">
        <f>IF($I53=0,"",ROUND($E53/$I53,0))</f>
        <v/>
      </c>
      <c r="K53" s="71">
        <f>IF($B53="",0,$E53*IFERROR(INDEX(Productos!$G$5:$G$124,MATCH($B53,Productos!$A$5:$A$124,0)),0))</f>
        <v/>
      </c>
      <c r="L53" s="71">
        <f>IF($K53=0,0,$K53*Inicio!$C$25/365*Inicio!$C$22)</f>
        <v/>
      </c>
      <c r="M53" s="73">
        <f>IF($B53="","",IF(SUMIF($B$5:$B$304,$B53,$F$5:$F$304)=0,"",ROUND(SUMIF($B$5:$B$304,$B53,$E$5:$E$304)/(SUMIF($B$5:$B$304,$B53,$F$5:$F$304)/Inicio!$C$22),0)))</f>
        <v/>
      </c>
      <c r="N53" s="74">
        <f>IF($B53="","",IF(AND($E53&lt;=0,$F53&gt;0),"QUIEBRE",IF(AND($F53=0,$E53&gt;0),"SIN ROTACIÓN",IF($J53="","",IF($J53&lt;Inicio!$C$23,"RIESGO DE QUIEBRE",IF($J53&gt;Inicio!$C$24*1.5,"EXCESO","SANO"))))))</f>
        <v/>
      </c>
      <c r="O53" s="74">
        <f>IF($M53="","",IF($J53="","",IF($J53&gt;2*$M53,"ENVIAR a otra tienda",IF($J53&lt;0.5*$M53,"PEDIR traslado","—"))))</f>
        <v/>
      </c>
    </row>
    <row r="54" ht="15" customHeight="1" s="47">
      <c r="A54" s="182" t="inlineStr">
        <is>
          <t>T01</t>
        </is>
      </c>
      <c r="B54" s="182" t="inlineStr">
        <is>
          <t>EL-050</t>
        </is>
      </c>
      <c r="C54" s="59">
        <f>IFERROR(INDEX(Productos!$B$5:$B$124,MATCH($B54,Productos!$A$5:$A$124,0)),"")</f>
        <v/>
      </c>
      <c r="D54" s="59">
        <f>IFERROR(INDEX(Productos!$D$5:$D$124,MATCH($B54,Productos!$A$5:$A$124,0)),"")</f>
        <v/>
      </c>
      <c r="E54" s="186" t="n">
        <v>0</v>
      </c>
      <c r="F54" s="70">
        <f>IF($B54="",0,SUMIFS(Ventas!$F$5:$F$504,Ventas!$B$5:$B$504,$A54,Ventas!$C$5:$C$504,$B54))</f>
        <v/>
      </c>
      <c r="G54" s="71">
        <f>IF($B54="",0,SUMIFS(Ventas!$L$5:$L$504,Ventas!$B$5:$B$504,$A54,Ventas!$C$5:$C$504,$B54))</f>
        <v/>
      </c>
      <c r="H54" s="71">
        <f>IF($B54="",0,SUMIFS(Ventas!$P$5:$P$504,Ventas!$B$5:$B$504,$A54,Ventas!$C$5:$C$504,$B54))</f>
        <v/>
      </c>
      <c r="I54" s="72">
        <f>IF($F54=0,0,$F54/Inicio!$C$22)</f>
        <v/>
      </c>
      <c r="J54" s="73">
        <f>IF($I54=0,"",ROUND($E54/$I54,0))</f>
        <v/>
      </c>
      <c r="K54" s="71">
        <f>IF($B54="",0,$E54*IFERROR(INDEX(Productos!$G$5:$G$124,MATCH($B54,Productos!$A$5:$A$124,0)),0))</f>
        <v/>
      </c>
      <c r="L54" s="71">
        <f>IF($K54=0,0,$K54*Inicio!$C$25/365*Inicio!$C$22)</f>
        <v/>
      </c>
      <c r="M54" s="73">
        <f>IF($B54="","",IF(SUMIF($B$5:$B$304,$B54,$F$5:$F$304)=0,"",ROUND(SUMIF($B$5:$B$304,$B54,$E$5:$E$304)/(SUMIF($B$5:$B$304,$B54,$F$5:$F$304)/Inicio!$C$22),0)))</f>
        <v/>
      </c>
      <c r="N54" s="74">
        <f>IF($B54="","",IF(AND($E54&lt;=0,$F54&gt;0),"QUIEBRE",IF(AND($F54=0,$E54&gt;0),"SIN ROTACIÓN",IF($J54="","",IF($J54&lt;Inicio!$C$23,"RIESGO DE QUIEBRE",IF($J54&gt;Inicio!$C$24*1.5,"EXCESO","SANO"))))))</f>
        <v/>
      </c>
      <c r="O54" s="74">
        <f>IF($M54="","",IF($J54="","",IF($J54&gt;2*$M54,"ENVIAR a otra tienda",IF($J54&lt;0.5*$M54,"PEDIR traslado","—"))))</f>
        <v/>
      </c>
    </row>
    <row r="55" ht="15" customHeight="1" s="47">
      <c r="A55" s="182" t="inlineStr">
        <is>
          <t>T02</t>
        </is>
      </c>
      <c r="B55" s="182" t="inlineStr">
        <is>
          <t>EL-001</t>
        </is>
      </c>
      <c r="C55" s="59">
        <f>IFERROR(INDEX(Productos!$B$5:$B$124,MATCH($B55,Productos!$A$5:$A$124,0)),"")</f>
        <v/>
      </c>
      <c r="D55" s="59">
        <f>IFERROR(INDEX(Productos!$D$5:$D$124,MATCH($B55,Productos!$A$5:$A$124,0)),"")</f>
        <v/>
      </c>
      <c r="E55" s="186" t="n">
        <v>2</v>
      </c>
      <c r="F55" s="70">
        <f>IF($B55="",0,SUMIFS(Ventas!$F$5:$F$504,Ventas!$B$5:$B$504,$A55,Ventas!$C$5:$C$504,$B55))</f>
        <v/>
      </c>
      <c r="G55" s="71">
        <f>IF($B55="",0,SUMIFS(Ventas!$L$5:$L$504,Ventas!$B$5:$B$504,$A55,Ventas!$C$5:$C$504,$B55))</f>
        <v/>
      </c>
      <c r="H55" s="71">
        <f>IF($B55="",0,SUMIFS(Ventas!$P$5:$P$504,Ventas!$B$5:$B$504,$A55,Ventas!$C$5:$C$504,$B55))</f>
        <v/>
      </c>
      <c r="I55" s="72">
        <f>IF($F55=0,0,$F55/Inicio!$C$22)</f>
        <v/>
      </c>
      <c r="J55" s="73">
        <f>IF($I55=0,"",ROUND($E55/$I55,0))</f>
        <v/>
      </c>
      <c r="K55" s="71">
        <f>IF($B55="",0,$E55*IFERROR(INDEX(Productos!$G$5:$G$124,MATCH($B55,Productos!$A$5:$A$124,0)),0))</f>
        <v/>
      </c>
      <c r="L55" s="71">
        <f>IF($K55=0,0,$K55*Inicio!$C$25/365*Inicio!$C$22)</f>
        <v/>
      </c>
      <c r="M55" s="73">
        <f>IF($B55="","",IF(SUMIF($B$5:$B$304,$B55,$F$5:$F$304)=0,"",ROUND(SUMIF($B$5:$B$304,$B55,$E$5:$E$304)/(SUMIF($B$5:$B$304,$B55,$F$5:$F$304)/Inicio!$C$22),0)))</f>
        <v/>
      </c>
      <c r="N55" s="74">
        <f>IF($B55="","",IF(AND($E55&lt;=0,$F55&gt;0),"QUIEBRE",IF(AND($F55=0,$E55&gt;0),"SIN ROTACIÓN",IF($J55="","",IF($J55&lt;Inicio!$C$23,"RIESGO DE QUIEBRE",IF($J55&gt;Inicio!$C$24*1.5,"EXCESO","SANO"))))))</f>
        <v/>
      </c>
      <c r="O55" s="74">
        <f>IF($M55="","",IF($J55="","",IF($J55&gt;2*$M55,"ENVIAR a otra tienda",IF($J55&lt;0.5*$M55,"PEDIR traslado","—"))))</f>
        <v/>
      </c>
    </row>
    <row r="56" ht="15" customHeight="1" s="47">
      <c r="A56" s="182" t="inlineStr">
        <is>
          <t>T02</t>
        </is>
      </c>
      <c r="B56" s="182" t="inlineStr">
        <is>
          <t>EL-002</t>
        </is>
      </c>
      <c r="C56" s="59">
        <f>IFERROR(INDEX(Productos!$B$5:$B$124,MATCH($B56,Productos!$A$5:$A$124,0)),"")</f>
        <v/>
      </c>
      <c r="D56" s="59">
        <f>IFERROR(INDEX(Productos!$D$5:$D$124,MATCH($B56,Productos!$A$5:$A$124,0)),"")</f>
        <v/>
      </c>
      <c r="E56" s="186" t="n">
        <v>1</v>
      </c>
      <c r="F56" s="70">
        <f>IF($B56="",0,SUMIFS(Ventas!$F$5:$F$504,Ventas!$B$5:$B$504,$A56,Ventas!$C$5:$C$504,$B56))</f>
        <v/>
      </c>
      <c r="G56" s="71">
        <f>IF($B56="",0,SUMIFS(Ventas!$L$5:$L$504,Ventas!$B$5:$B$504,$A56,Ventas!$C$5:$C$504,$B56))</f>
        <v/>
      </c>
      <c r="H56" s="71">
        <f>IF($B56="",0,SUMIFS(Ventas!$P$5:$P$504,Ventas!$B$5:$B$504,$A56,Ventas!$C$5:$C$504,$B56))</f>
        <v/>
      </c>
      <c r="I56" s="72">
        <f>IF($F56=0,0,$F56/Inicio!$C$22)</f>
        <v/>
      </c>
      <c r="J56" s="73">
        <f>IF($I56=0,"",ROUND($E56/$I56,0))</f>
        <v/>
      </c>
      <c r="K56" s="71">
        <f>IF($B56="",0,$E56*IFERROR(INDEX(Productos!$G$5:$G$124,MATCH($B56,Productos!$A$5:$A$124,0)),0))</f>
        <v/>
      </c>
      <c r="L56" s="71">
        <f>IF($K56=0,0,$K56*Inicio!$C$25/365*Inicio!$C$22)</f>
        <v/>
      </c>
      <c r="M56" s="73">
        <f>IF($B56="","",IF(SUMIF($B$5:$B$304,$B56,$F$5:$F$304)=0,"",ROUND(SUMIF($B$5:$B$304,$B56,$E$5:$E$304)/(SUMIF($B$5:$B$304,$B56,$F$5:$F$304)/Inicio!$C$22),0)))</f>
        <v/>
      </c>
      <c r="N56" s="74">
        <f>IF($B56="","",IF(AND($E56&lt;=0,$F56&gt;0),"QUIEBRE",IF(AND($F56=0,$E56&gt;0),"SIN ROTACIÓN",IF($J56="","",IF($J56&lt;Inicio!$C$23,"RIESGO DE QUIEBRE",IF($J56&gt;Inicio!$C$24*1.5,"EXCESO","SANO"))))))</f>
        <v/>
      </c>
      <c r="O56" s="74">
        <f>IF($M56="","",IF($J56="","",IF($J56&gt;2*$M56,"ENVIAR a otra tienda",IF($J56&lt;0.5*$M56,"PEDIR traslado","—"))))</f>
        <v/>
      </c>
    </row>
    <row r="57" ht="15" customHeight="1" s="47">
      <c r="A57" s="182" t="inlineStr">
        <is>
          <t>T02</t>
        </is>
      </c>
      <c r="B57" s="182" t="inlineStr">
        <is>
          <t>EL-003</t>
        </is>
      </c>
      <c r="C57" s="59">
        <f>IFERROR(INDEX(Productos!$B$5:$B$124,MATCH($B57,Productos!$A$5:$A$124,0)),"")</f>
        <v/>
      </c>
      <c r="D57" s="59">
        <f>IFERROR(INDEX(Productos!$D$5:$D$124,MATCH($B57,Productos!$A$5:$A$124,0)),"")</f>
        <v/>
      </c>
      <c r="E57" s="186" t="n">
        <v>11</v>
      </c>
      <c r="F57" s="70">
        <f>IF($B57="",0,SUMIFS(Ventas!$F$5:$F$504,Ventas!$B$5:$B$504,$A57,Ventas!$C$5:$C$504,$B57))</f>
        <v/>
      </c>
      <c r="G57" s="71">
        <f>IF($B57="",0,SUMIFS(Ventas!$L$5:$L$504,Ventas!$B$5:$B$504,$A57,Ventas!$C$5:$C$504,$B57))</f>
        <v/>
      </c>
      <c r="H57" s="71">
        <f>IF($B57="",0,SUMIFS(Ventas!$P$5:$P$504,Ventas!$B$5:$B$504,$A57,Ventas!$C$5:$C$504,$B57))</f>
        <v/>
      </c>
      <c r="I57" s="72">
        <f>IF($F57=0,0,$F57/Inicio!$C$22)</f>
        <v/>
      </c>
      <c r="J57" s="73">
        <f>IF($I57=0,"",ROUND($E57/$I57,0))</f>
        <v/>
      </c>
      <c r="K57" s="71">
        <f>IF($B57="",0,$E57*IFERROR(INDEX(Productos!$G$5:$G$124,MATCH($B57,Productos!$A$5:$A$124,0)),0))</f>
        <v/>
      </c>
      <c r="L57" s="71">
        <f>IF($K57=0,0,$K57*Inicio!$C$25/365*Inicio!$C$22)</f>
        <v/>
      </c>
      <c r="M57" s="73">
        <f>IF($B57="","",IF(SUMIF($B$5:$B$304,$B57,$F$5:$F$304)=0,"",ROUND(SUMIF($B$5:$B$304,$B57,$E$5:$E$304)/(SUMIF($B$5:$B$304,$B57,$F$5:$F$304)/Inicio!$C$22),0)))</f>
        <v/>
      </c>
      <c r="N57" s="74">
        <f>IF($B57="","",IF(AND($E57&lt;=0,$F57&gt;0),"QUIEBRE",IF(AND($F57=0,$E57&gt;0),"SIN ROTACIÓN",IF($J57="","",IF($J57&lt;Inicio!$C$23,"RIESGO DE QUIEBRE",IF($J57&gt;Inicio!$C$24*1.5,"EXCESO","SANO"))))))</f>
        <v/>
      </c>
      <c r="O57" s="74">
        <f>IF($M57="","",IF($J57="","",IF($J57&gt;2*$M57,"ENVIAR a otra tienda",IF($J57&lt;0.5*$M57,"PEDIR traslado","—"))))</f>
        <v/>
      </c>
    </row>
    <row r="58" ht="15" customHeight="1" s="47">
      <c r="A58" s="182" t="inlineStr">
        <is>
          <t>T02</t>
        </is>
      </c>
      <c r="B58" s="182" t="inlineStr">
        <is>
          <t>EL-004</t>
        </is>
      </c>
      <c r="C58" s="59">
        <f>IFERROR(INDEX(Productos!$B$5:$B$124,MATCH($B58,Productos!$A$5:$A$124,0)),"")</f>
        <v/>
      </c>
      <c r="D58" s="59">
        <f>IFERROR(INDEX(Productos!$D$5:$D$124,MATCH($B58,Productos!$A$5:$A$124,0)),"")</f>
        <v/>
      </c>
      <c r="E58" s="186" t="n">
        <v>3</v>
      </c>
      <c r="F58" s="70">
        <f>IF($B58="",0,SUMIFS(Ventas!$F$5:$F$504,Ventas!$B$5:$B$504,$A58,Ventas!$C$5:$C$504,$B58))</f>
        <v/>
      </c>
      <c r="G58" s="71">
        <f>IF($B58="",0,SUMIFS(Ventas!$L$5:$L$504,Ventas!$B$5:$B$504,$A58,Ventas!$C$5:$C$504,$B58))</f>
        <v/>
      </c>
      <c r="H58" s="71">
        <f>IF($B58="",0,SUMIFS(Ventas!$P$5:$P$504,Ventas!$B$5:$B$504,$A58,Ventas!$C$5:$C$504,$B58))</f>
        <v/>
      </c>
      <c r="I58" s="72">
        <f>IF($F58=0,0,$F58/Inicio!$C$22)</f>
        <v/>
      </c>
      <c r="J58" s="73">
        <f>IF($I58=0,"",ROUND($E58/$I58,0))</f>
        <v/>
      </c>
      <c r="K58" s="71">
        <f>IF($B58="",0,$E58*IFERROR(INDEX(Productos!$G$5:$G$124,MATCH($B58,Productos!$A$5:$A$124,0)),0))</f>
        <v/>
      </c>
      <c r="L58" s="71">
        <f>IF($K58=0,0,$K58*Inicio!$C$25/365*Inicio!$C$22)</f>
        <v/>
      </c>
      <c r="M58" s="73">
        <f>IF($B58="","",IF(SUMIF($B$5:$B$304,$B58,$F$5:$F$304)=0,"",ROUND(SUMIF($B$5:$B$304,$B58,$E$5:$E$304)/(SUMIF($B$5:$B$304,$B58,$F$5:$F$304)/Inicio!$C$22),0)))</f>
        <v/>
      </c>
      <c r="N58" s="74">
        <f>IF($B58="","",IF(AND($E58&lt;=0,$F58&gt;0),"QUIEBRE",IF(AND($F58=0,$E58&gt;0),"SIN ROTACIÓN",IF($J58="","",IF($J58&lt;Inicio!$C$23,"RIESGO DE QUIEBRE",IF($J58&gt;Inicio!$C$24*1.5,"EXCESO","SANO"))))))</f>
        <v/>
      </c>
      <c r="O58" s="74">
        <f>IF($M58="","",IF($J58="","",IF($J58&gt;2*$M58,"ENVIAR a otra tienda",IF($J58&lt;0.5*$M58,"PEDIR traslado","—"))))</f>
        <v/>
      </c>
    </row>
    <row r="59" ht="15" customHeight="1" s="47">
      <c r="A59" s="182" t="inlineStr">
        <is>
          <t>T02</t>
        </is>
      </c>
      <c r="B59" s="182" t="inlineStr">
        <is>
          <t>EL-005</t>
        </is>
      </c>
      <c r="C59" s="59">
        <f>IFERROR(INDEX(Productos!$B$5:$B$124,MATCH($B59,Productos!$A$5:$A$124,0)),"")</f>
        <v/>
      </c>
      <c r="D59" s="59">
        <f>IFERROR(INDEX(Productos!$D$5:$D$124,MATCH($B59,Productos!$A$5:$A$124,0)),"")</f>
        <v/>
      </c>
      <c r="E59" s="186" t="n">
        <v>4</v>
      </c>
      <c r="F59" s="70">
        <f>IF($B59="",0,SUMIFS(Ventas!$F$5:$F$504,Ventas!$B$5:$B$504,$A59,Ventas!$C$5:$C$504,$B59))</f>
        <v/>
      </c>
      <c r="G59" s="71">
        <f>IF($B59="",0,SUMIFS(Ventas!$L$5:$L$504,Ventas!$B$5:$B$504,$A59,Ventas!$C$5:$C$504,$B59))</f>
        <v/>
      </c>
      <c r="H59" s="71">
        <f>IF($B59="",0,SUMIFS(Ventas!$P$5:$P$504,Ventas!$B$5:$B$504,$A59,Ventas!$C$5:$C$504,$B59))</f>
        <v/>
      </c>
      <c r="I59" s="72">
        <f>IF($F59=0,0,$F59/Inicio!$C$22)</f>
        <v/>
      </c>
      <c r="J59" s="73">
        <f>IF($I59=0,"",ROUND($E59/$I59,0))</f>
        <v/>
      </c>
      <c r="K59" s="71">
        <f>IF($B59="",0,$E59*IFERROR(INDEX(Productos!$G$5:$G$124,MATCH($B59,Productos!$A$5:$A$124,0)),0))</f>
        <v/>
      </c>
      <c r="L59" s="71">
        <f>IF($K59=0,0,$K59*Inicio!$C$25/365*Inicio!$C$22)</f>
        <v/>
      </c>
      <c r="M59" s="73">
        <f>IF($B59="","",IF(SUMIF($B$5:$B$304,$B59,$F$5:$F$304)=0,"",ROUND(SUMIF($B$5:$B$304,$B59,$E$5:$E$304)/(SUMIF($B$5:$B$304,$B59,$F$5:$F$304)/Inicio!$C$22),0)))</f>
        <v/>
      </c>
      <c r="N59" s="74">
        <f>IF($B59="","",IF(AND($E59&lt;=0,$F59&gt;0),"QUIEBRE",IF(AND($F59=0,$E59&gt;0),"SIN ROTACIÓN",IF($J59="","",IF($J59&lt;Inicio!$C$23,"RIESGO DE QUIEBRE",IF($J59&gt;Inicio!$C$24*1.5,"EXCESO","SANO"))))))</f>
        <v/>
      </c>
      <c r="O59" s="74">
        <f>IF($M59="","",IF($J59="","",IF($J59&gt;2*$M59,"ENVIAR a otra tienda",IF($J59&lt;0.5*$M59,"PEDIR traslado","—"))))</f>
        <v/>
      </c>
    </row>
    <row r="60" ht="15" customHeight="1" s="47">
      <c r="A60" s="182" t="inlineStr">
        <is>
          <t>T02</t>
        </is>
      </c>
      <c r="B60" s="182" t="inlineStr">
        <is>
          <t>EL-006</t>
        </is>
      </c>
      <c r="C60" s="59">
        <f>IFERROR(INDEX(Productos!$B$5:$B$124,MATCH($B60,Productos!$A$5:$A$124,0)),"")</f>
        <v/>
      </c>
      <c r="D60" s="59">
        <f>IFERROR(INDEX(Productos!$D$5:$D$124,MATCH($B60,Productos!$A$5:$A$124,0)),"")</f>
        <v/>
      </c>
      <c r="E60" s="186" t="n">
        <v>14</v>
      </c>
      <c r="F60" s="70">
        <f>IF($B60="",0,SUMIFS(Ventas!$F$5:$F$504,Ventas!$B$5:$B$504,$A60,Ventas!$C$5:$C$504,$B60))</f>
        <v/>
      </c>
      <c r="G60" s="71">
        <f>IF($B60="",0,SUMIFS(Ventas!$L$5:$L$504,Ventas!$B$5:$B$504,$A60,Ventas!$C$5:$C$504,$B60))</f>
        <v/>
      </c>
      <c r="H60" s="71">
        <f>IF($B60="",0,SUMIFS(Ventas!$P$5:$P$504,Ventas!$B$5:$B$504,$A60,Ventas!$C$5:$C$504,$B60))</f>
        <v/>
      </c>
      <c r="I60" s="72">
        <f>IF($F60=0,0,$F60/Inicio!$C$22)</f>
        <v/>
      </c>
      <c r="J60" s="73">
        <f>IF($I60=0,"",ROUND($E60/$I60,0))</f>
        <v/>
      </c>
      <c r="K60" s="71">
        <f>IF($B60="",0,$E60*IFERROR(INDEX(Productos!$G$5:$G$124,MATCH($B60,Productos!$A$5:$A$124,0)),0))</f>
        <v/>
      </c>
      <c r="L60" s="71">
        <f>IF($K60=0,0,$K60*Inicio!$C$25/365*Inicio!$C$22)</f>
        <v/>
      </c>
      <c r="M60" s="73">
        <f>IF($B60="","",IF(SUMIF($B$5:$B$304,$B60,$F$5:$F$304)=0,"",ROUND(SUMIF($B$5:$B$304,$B60,$E$5:$E$304)/(SUMIF($B$5:$B$304,$B60,$F$5:$F$304)/Inicio!$C$22),0)))</f>
        <v/>
      </c>
      <c r="N60" s="74">
        <f>IF($B60="","",IF(AND($E60&lt;=0,$F60&gt;0),"QUIEBRE",IF(AND($F60=0,$E60&gt;0),"SIN ROTACIÓN",IF($J60="","",IF($J60&lt;Inicio!$C$23,"RIESGO DE QUIEBRE",IF($J60&gt;Inicio!$C$24*1.5,"EXCESO","SANO"))))))</f>
        <v/>
      </c>
      <c r="O60" s="74">
        <f>IF($M60="","",IF($J60="","",IF($J60&gt;2*$M60,"ENVIAR a otra tienda",IF($J60&lt;0.5*$M60,"PEDIR traslado","—"))))</f>
        <v/>
      </c>
    </row>
    <row r="61" ht="15" customHeight="1" s="47">
      <c r="A61" s="182" t="inlineStr">
        <is>
          <t>T02</t>
        </is>
      </c>
      <c r="B61" s="182" t="inlineStr">
        <is>
          <t>EL-007</t>
        </is>
      </c>
      <c r="C61" s="59">
        <f>IFERROR(INDEX(Productos!$B$5:$B$124,MATCH($B61,Productos!$A$5:$A$124,0)),"")</f>
        <v/>
      </c>
      <c r="D61" s="59">
        <f>IFERROR(INDEX(Productos!$D$5:$D$124,MATCH($B61,Productos!$A$5:$A$124,0)),"")</f>
        <v/>
      </c>
      <c r="E61" s="186" t="n">
        <v>4</v>
      </c>
      <c r="F61" s="70">
        <f>IF($B61="",0,SUMIFS(Ventas!$F$5:$F$504,Ventas!$B$5:$B$504,$A61,Ventas!$C$5:$C$504,$B61))</f>
        <v/>
      </c>
      <c r="G61" s="71">
        <f>IF($B61="",0,SUMIFS(Ventas!$L$5:$L$504,Ventas!$B$5:$B$504,$A61,Ventas!$C$5:$C$504,$B61))</f>
        <v/>
      </c>
      <c r="H61" s="71">
        <f>IF($B61="",0,SUMIFS(Ventas!$P$5:$P$504,Ventas!$B$5:$B$504,$A61,Ventas!$C$5:$C$504,$B61))</f>
        <v/>
      </c>
      <c r="I61" s="72">
        <f>IF($F61=0,0,$F61/Inicio!$C$22)</f>
        <v/>
      </c>
      <c r="J61" s="73">
        <f>IF($I61=0,"",ROUND($E61/$I61,0))</f>
        <v/>
      </c>
      <c r="K61" s="71">
        <f>IF($B61="",0,$E61*IFERROR(INDEX(Productos!$G$5:$G$124,MATCH($B61,Productos!$A$5:$A$124,0)),0))</f>
        <v/>
      </c>
      <c r="L61" s="71">
        <f>IF($K61=0,0,$K61*Inicio!$C$25/365*Inicio!$C$22)</f>
        <v/>
      </c>
      <c r="M61" s="73">
        <f>IF($B61="","",IF(SUMIF($B$5:$B$304,$B61,$F$5:$F$304)=0,"",ROUND(SUMIF($B$5:$B$304,$B61,$E$5:$E$304)/(SUMIF($B$5:$B$304,$B61,$F$5:$F$304)/Inicio!$C$22),0)))</f>
        <v/>
      </c>
      <c r="N61" s="74">
        <f>IF($B61="","",IF(AND($E61&lt;=0,$F61&gt;0),"QUIEBRE",IF(AND($F61=0,$E61&gt;0),"SIN ROTACIÓN",IF($J61="","",IF($J61&lt;Inicio!$C$23,"RIESGO DE QUIEBRE",IF($J61&gt;Inicio!$C$24*1.5,"EXCESO","SANO"))))))</f>
        <v/>
      </c>
      <c r="O61" s="74">
        <f>IF($M61="","",IF($J61="","",IF($J61&gt;2*$M61,"ENVIAR a otra tienda",IF($J61&lt;0.5*$M61,"PEDIR traslado","—"))))</f>
        <v/>
      </c>
    </row>
    <row r="62" ht="15" customHeight="1" s="47">
      <c r="A62" s="182" t="inlineStr">
        <is>
          <t>T02</t>
        </is>
      </c>
      <c r="B62" s="182" t="inlineStr">
        <is>
          <t>EL-008</t>
        </is>
      </c>
      <c r="C62" s="59">
        <f>IFERROR(INDEX(Productos!$B$5:$B$124,MATCH($B62,Productos!$A$5:$A$124,0)),"")</f>
        <v/>
      </c>
      <c r="D62" s="59">
        <f>IFERROR(INDEX(Productos!$D$5:$D$124,MATCH($B62,Productos!$A$5:$A$124,0)),"")</f>
        <v/>
      </c>
      <c r="E62" s="186" t="n">
        <v>7</v>
      </c>
      <c r="F62" s="70">
        <f>IF($B62="",0,SUMIFS(Ventas!$F$5:$F$504,Ventas!$B$5:$B$504,$A62,Ventas!$C$5:$C$504,$B62))</f>
        <v/>
      </c>
      <c r="G62" s="71">
        <f>IF($B62="",0,SUMIFS(Ventas!$L$5:$L$504,Ventas!$B$5:$B$504,$A62,Ventas!$C$5:$C$504,$B62))</f>
        <v/>
      </c>
      <c r="H62" s="71">
        <f>IF($B62="",0,SUMIFS(Ventas!$P$5:$P$504,Ventas!$B$5:$B$504,$A62,Ventas!$C$5:$C$504,$B62))</f>
        <v/>
      </c>
      <c r="I62" s="72">
        <f>IF($F62=0,0,$F62/Inicio!$C$22)</f>
        <v/>
      </c>
      <c r="J62" s="73">
        <f>IF($I62=0,"",ROUND($E62/$I62,0))</f>
        <v/>
      </c>
      <c r="K62" s="71">
        <f>IF($B62="",0,$E62*IFERROR(INDEX(Productos!$G$5:$G$124,MATCH($B62,Productos!$A$5:$A$124,0)),0))</f>
        <v/>
      </c>
      <c r="L62" s="71">
        <f>IF($K62=0,0,$K62*Inicio!$C$25/365*Inicio!$C$22)</f>
        <v/>
      </c>
      <c r="M62" s="73">
        <f>IF($B62="","",IF(SUMIF($B$5:$B$304,$B62,$F$5:$F$304)=0,"",ROUND(SUMIF($B$5:$B$304,$B62,$E$5:$E$304)/(SUMIF($B$5:$B$304,$B62,$F$5:$F$304)/Inicio!$C$22),0)))</f>
        <v/>
      </c>
      <c r="N62" s="74">
        <f>IF($B62="","",IF(AND($E62&lt;=0,$F62&gt;0),"QUIEBRE",IF(AND($F62=0,$E62&gt;0),"SIN ROTACIÓN",IF($J62="","",IF($J62&lt;Inicio!$C$23,"RIESGO DE QUIEBRE",IF($J62&gt;Inicio!$C$24*1.5,"EXCESO","SANO"))))))</f>
        <v/>
      </c>
      <c r="O62" s="74">
        <f>IF($M62="","",IF($J62="","",IF($J62&gt;2*$M62,"ENVIAR a otra tienda",IF($J62&lt;0.5*$M62,"PEDIR traslado","—"))))</f>
        <v/>
      </c>
    </row>
    <row r="63" ht="15" customHeight="1" s="47">
      <c r="A63" s="182" t="inlineStr">
        <is>
          <t>T02</t>
        </is>
      </c>
      <c r="B63" s="182" t="inlineStr">
        <is>
          <t>EL-009</t>
        </is>
      </c>
      <c r="C63" s="59">
        <f>IFERROR(INDEX(Productos!$B$5:$B$124,MATCH($B63,Productos!$A$5:$A$124,0)),"")</f>
        <v/>
      </c>
      <c r="D63" s="59">
        <f>IFERROR(INDEX(Productos!$D$5:$D$124,MATCH($B63,Productos!$A$5:$A$124,0)),"")</f>
        <v/>
      </c>
      <c r="E63" s="186" t="n">
        <v>1</v>
      </c>
      <c r="F63" s="70">
        <f>IF($B63="",0,SUMIFS(Ventas!$F$5:$F$504,Ventas!$B$5:$B$504,$A63,Ventas!$C$5:$C$504,$B63))</f>
        <v/>
      </c>
      <c r="G63" s="71">
        <f>IF($B63="",0,SUMIFS(Ventas!$L$5:$L$504,Ventas!$B$5:$B$504,$A63,Ventas!$C$5:$C$504,$B63))</f>
        <v/>
      </c>
      <c r="H63" s="71">
        <f>IF($B63="",0,SUMIFS(Ventas!$P$5:$P$504,Ventas!$B$5:$B$504,$A63,Ventas!$C$5:$C$504,$B63))</f>
        <v/>
      </c>
      <c r="I63" s="72">
        <f>IF($F63=0,0,$F63/Inicio!$C$22)</f>
        <v/>
      </c>
      <c r="J63" s="73">
        <f>IF($I63=0,"",ROUND($E63/$I63,0))</f>
        <v/>
      </c>
      <c r="K63" s="71">
        <f>IF($B63="",0,$E63*IFERROR(INDEX(Productos!$G$5:$G$124,MATCH($B63,Productos!$A$5:$A$124,0)),0))</f>
        <v/>
      </c>
      <c r="L63" s="71">
        <f>IF($K63=0,0,$K63*Inicio!$C$25/365*Inicio!$C$22)</f>
        <v/>
      </c>
      <c r="M63" s="73">
        <f>IF($B63="","",IF(SUMIF($B$5:$B$304,$B63,$F$5:$F$304)=0,"",ROUND(SUMIF($B$5:$B$304,$B63,$E$5:$E$304)/(SUMIF($B$5:$B$304,$B63,$F$5:$F$304)/Inicio!$C$22),0)))</f>
        <v/>
      </c>
      <c r="N63" s="74">
        <f>IF($B63="","",IF(AND($E63&lt;=0,$F63&gt;0),"QUIEBRE",IF(AND($F63=0,$E63&gt;0),"SIN ROTACIÓN",IF($J63="","",IF($J63&lt;Inicio!$C$23,"RIESGO DE QUIEBRE",IF($J63&gt;Inicio!$C$24*1.5,"EXCESO","SANO"))))))</f>
        <v/>
      </c>
      <c r="O63" s="74">
        <f>IF($M63="","",IF($J63="","",IF($J63&gt;2*$M63,"ENVIAR a otra tienda",IF($J63&lt;0.5*$M63,"PEDIR traslado","—"))))</f>
        <v/>
      </c>
    </row>
    <row r="64" ht="15" customHeight="1" s="47">
      <c r="A64" s="182" t="inlineStr">
        <is>
          <t>T02</t>
        </is>
      </c>
      <c r="B64" s="182" t="inlineStr">
        <is>
          <t>EL-010</t>
        </is>
      </c>
      <c r="C64" s="59">
        <f>IFERROR(INDEX(Productos!$B$5:$B$124,MATCH($B64,Productos!$A$5:$A$124,0)),"")</f>
        <v/>
      </c>
      <c r="D64" s="59">
        <f>IFERROR(INDEX(Productos!$D$5:$D$124,MATCH($B64,Productos!$A$5:$A$124,0)),"")</f>
        <v/>
      </c>
      <c r="E64" s="186" t="n">
        <v>0</v>
      </c>
      <c r="F64" s="70">
        <f>IF($B64="",0,SUMIFS(Ventas!$F$5:$F$504,Ventas!$B$5:$B$504,$A64,Ventas!$C$5:$C$504,$B64))</f>
        <v/>
      </c>
      <c r="G64" s="71">
        <f>IF($B64="",0,SUMIFS(Ventas!$L$5:$L$504,Ventas!$B$5:$B$504,$A64,Ventas!$C$5:$C$504,$B64))</f>
        <v/>
      </c>
      <c r="H64" s="71">
        <f>IF($B64="",0,SUMIFS(Ventas!$P$5:$P$504,Ventas!$B$5:$B$504,$A64,Ventas!$C$5:$C$504,$B64))</f>
        <v/>
      </c>
      <c r="I64" s="72">
        <f>IF($F64=0,0,$F64/Inicio!$C$22)</f>
        <v/>
      </c>
      <c r="J64" s="73">
        <f>IF($I64=0,"",ROUND($E64/$I64,0))</f>
        <v/>
      </c>
      <c r="K64" s="71">
        <f>IF($B64="",0,$E64*IFERROR(INDEX(Productos!$G$5:$G$124,MATCH($B64,Productos!$A$5:$A$124,0)),0))</f>
        <v/>
      </c>
      <c r="L64" s="71">
        <f>IF($K64=0,0,$K64*Inicio!$C$25/365*Inicio!$C$22)</f>
        <v/>
      </c>
      <c r="M64" s="73">
        <f>IF($B64="","",IF(SUMIF($B$5:$B$304,$B64,$F$5:$F$304)=0,"",ROUND(SUMIF($B$5:$B$304,$B64,$E$5:$E$304)/(SUMIF($B$5:$B$304,$B64,$F$5:$F$304)/Inicio!$C$22),0)))</f>
        <v/>
      </c>
      <c r="N64" s="74">
        <f>IF($B64="","",IF(AND($E64&lt;=0,$F64&gt;0),"QUIEBRE",IF(AND($F64=0,$E64&gt;0),"SIN ROTACIÓN",IF($J64="","",IF($J64&lt;Inicio!$C$23,"RIESGO DE QUIEBRE",IF($J64&gt;Inicio!$C$24*1.5,"EXCESO","SANO"))))))</f>
        <v/>
      </c>
      <c r="O64" s="74">
        <f>IF($M64="","",IF($J64="","",IF($J64&gt;2*$M64,"ENVIAR a otra tienda",IF($J64&lt;0.5*$M64,"PEDIR traslado","—"))))</f>
        <v/>
      </c>
    </row>
    <row r="65" ht="15" customHeight="1" s="47">
      <c r="A65" s="182" t="inlineStr">
        <is>
          <t>T02</t>
        </is>
      </c>
      <c r="B65" s="182" t="inlineStr">
        <is>
          <t>EL-011</t>
        </is>
      </c>
      <c r="C65" s="59">
        <f>IFERROR(INDEX(Productos!$B$5:$B$124,MATCH($B65,Productos!$A$5:$A$124,0)),"")</f>
        <v/>
      </c>
      <c r="D65" s="59">
        <f>IFERROR(INDEX(Productos!$D$5:$D$124,MATCH($B65,Productos!$A$5:$A$124,0)),"")</f>
        <v/>
      </c>
      <c r="E65" s="186" t="n">
        <v>4</v>
      </c>
      <c r="F65" s="70">
        <f>IF($B65="",0,SUMIFS(Ventas!$F$5:$F$504,Ventas!$B$5:$B$504,$A65,Ventas!$C$5:$C$504,$B65))</f>
        <v/>
      </c>
      <c r="G65" s="71">
        <f>IF($B65="",0,SUMIFS(Ventas!$L$5:$L$504,Ventas!$B$5:$B$504,$A65,Ventas!$C$5:$C$504,$B65))</f>
        <v/>
      </c>
      <c r="H65" s="71">
        <f>IF($B65="",0,SUMIFS(Ventas!$P$5:$P$504,Ventas!$B$5:$B$504,$A65,Ventas!$C$5:$C$504,$B65))</f>
        <v/>
      </c>
      <c r="I65" s="72">
        <f>IF($F65=0,0,$F65/Inicio!$C$22)</f>
        <v/>
      </c>
      <c r="J65" s="73">
        <f>IF($I65=0,"",ROUND($E65/$I65,0))</f>
        <v/>
      </c>
      <c r="K65" s="71">
        <f>IF($B65="",0,$E65*IFERROR(INDEX(Productos!$G$5:$G$124,MATCH($B65,Productos!$A$5:$A$124,0)),0))</f>
        <v/>
      </c>
      <c r="L65" s="71">
        <f>IF($K65=0,0,$K65*Inicio!$C$25/365*Inicio!$C$22)</f>
        <v/>
      </c>
      <c r="M65" s="73">
        <f>IF($B65="","",IF(SUMIF($B$5:$B$304,$B65,$F$5:$F$304)=0,"",ROUND(SUMIF($B$5:$B$304,$B65,$E$5:$E$304)/(SUMIF($B$5:$B$304,$B65,$F$5:$F$304)/Inicio!$C$22),0)))</f>
        <v/>
      </c>
      <c r="N65" s="74">
        <f>IF($B65="","",IF(AND($E65&lt;=0,$F65&gt;0),"QUIEBRE",IF(AND($F65=0,$E65&gt;0),"SIN ROTACIÓN",IF($J65="","",IF($J65&lt;Inicio!$C$23,"RIESGO DE QUIEBRE",IF($J65&gt;Inicio!$C$24*1.5,"EXCESO","SANO"))))))</f>
        <v/>
      </c>
      <c r="O65" s="74">
        <f>IF($M65="","",IF($J65="","",IF($J65&gt;2*$M65,"ENVIAR a otra tienda",IF($J65&lt;0.5*$M65,"PEDIR traslado","—"))))</f>
        <v/>
      </c>
    </row>
    <row r="66" ht="15" customHeight="1" s="47">
      <c r="A66" s="182" t="inlineStr">
        <is>
          <t>T02</t>
        </is>
      </c>
      <c r="B66" s="182" t="inlineStr">
        <is>
          <t>EL-012</t>
        </is>
      </c>
      <c r="C66" s="59">
        <f>IFERROR(INDEX(Productos!$B$5:$B$124,MATCH($B66,Productos!$A$5:$A$124,0)),"")</f>
        <v/>
      </c>
      <c r="D66" s="59">
        <f>IFERROR(INDEX(Productos!$D$5:$D$124,MATCH($B66,Productos!$A$5:$A$124,0)),"")</f>
        <v/>
      </c>
      <c r="E66" s="186" t="n">
        <v>5</v>
      </c>
      <c r="F66" s="70">
        <f>IF($B66="",0,SUMIFS(Ventas!$F$5:$F$504,Ventas!$B$5:$B$504,$A66,Ventas!$C$5:$C$504,$B66))</f>
        <v/>
      </c>
      <c r="G66" s="71">
        <f>IF($B66="",0,SUMIFS(Ventas!$L$5:$L$504,Ventas!$B$5:$B$504,$A66,Ventas!$C$5:$C$504,$B66))</f>
        <v/>
      </c>
      <c r="H66" s="71">
        <f>IF($B66="",0,SUMIFS(Ventas!$P$5:$P$504,Ventas!$B$5:$B$504,$A66,Ventas!$C$5:$C$504,$B66))</f>
        <v/>
      </c>
      <c r="I66" s="72">
        <f>IF($F66=0,0,$F66/Inicio!$C$22)</f>
        <v/>
      </c>
      <c r="J66" s="73">
        <f>IF($I66=0,"",ROUND($E66/$I66,0))</f>
        <v/>
      </c>
      <c r="K66" s="71">
        <f>IF($B66="",0,$E66*IFERROR(INDEX(Productos!$G$5:$G$124,MATCH($B66,Productos!$A$5:$A$124,0)),0))</f>
        <v/>
      </c>
      <c r="L66" s="71">
        <f>IF($K66=0,0,$K66*Inicio!$C$25/365*Inicio!$C$22)</f>
        <v/>
      </c>
      <c r="M66" s="73">
        <f>IF($B66="","",IF(SUMIF($B$5:$B$304,$B66,$F$5:$F$304)=0,"",ROUND(SUMIF($B$5:$B$304,$B66,$E$5:$E$304)/(SUMIF($B$5:$B$304,$B66,$F$5:$F$304)/Inicio!$C$22),0)))</f>
        <v/>
      </c>
      <c r="N66" s="74">
        <f>IF($B66="","",IF(AND($E66&lt;=0,$F66&gt;0),"QUIEBRE",IF(AND($F66=0,$E66&gt;0),"SIN ROTACIÓN",IF($J66="","",IF($J66&lt;Inicio!$C$23,"RIESGO DE QUIEBRE",IF($J66&gt;Inicio!$C$24*1.5,"EXCESO","SANO"))))))</f>
        <v/>
      </c>
      <c r="O66" s="74">
        <f>IF($M66="","",IF($J66="","",IF($J66&gt;2*$M66,"ENVIAR a otra tienda",IF($J66&lt;0.5*$M66,"PEDIR traslado","—"))))</f>
        <v/>
      </c>
    </row>
    <row r="67" ht="15" customHeight="1" s="47">
      <c r="A67" s="182" t="inlineStr">
        <is>
          <t>T02</t>
        </is>
      </c>
      <c r="B67" s="182" t="inlineStr">
        <is>
          <t>EL-013</t>
        </is>
      </c>
      <c r="C67" s="59">
        <f>IFERROR(INDEX(Productos!$B$5:$B$124,MATCH($B67,Productos!$A$5:$A$124,0)),"")</f>
        <v/>
      </c>
      <c r="D67" s="59">
        <f>IFERROR(INDEX(Productos!$D$5:$D$124,MATCH($B67,Productos!$A$5:$A$124,0)),"")</f>
        <v/>
      </c>
      <c r="E67" s="186" t="n">
        <v>16</v>
      </c>
      <c r="F67" s="70">
        <f>IF($B67="",0,SUMIFS(Ventas!$F$5:$F$504,Ventas!$B$5:$B$504,$A67,Ventas!$C$5:$C$504,$B67))</f>
        <v/>
      </c>
      <c r="G67" s="71">
        <f>IF($B67="",0,SUMIFS(Ventas!$L$5:$L$504,Ventas!$B$5:$B$504,$A67,Ventas!$C$5:$C$504,$B67))</f>
        <v/>
      </c>
      <c r="H67" s="71">
        <f>IF($B67="",0,SUMIFS(Ventas!$P$5:$P$504,Ventas!$B$5:$B$504,$A67,Ventas!$C$5:$C$504,$B67))</f>
        <v/>
      </c>
      <c r="I67" s="72">
        <f>IF($F67=0,0,$F67/Inicio!$C$22)</f>
        <v/>
      </c>
      <c r="J67" s="73">
        <f>IF($I67=0,"",ROUND($E67/$I67,0))</f>
        <v/>
      </c>
      <c r="K67" s="71">
        <f>IF($B67="",0,$E67*IFERROR(INDEX(Productos!$G$5:$G$124,MATCH($B67,Productos!$A$5:$A$124,0)),0))</f>
        <v/>
      </c>
      <c r="L67" s="71">
        <f>IF($K67=0,0,$K67*Inicio!$C$25/365*Inicio!$C$22)</f>
        <v/>
      </c>
      <c r="M67" s="73">
        <f>IF($B67="","",IF(SUMIF($B$5:$B$304,$B67,$F$5:$F$304)=0,"",ROUND(SUMIF($B$5:$B$304,$B67,$E$5:$E$304)/(SUMIF($B$5:$B$304,$B67,$F$5:$F$304)/Inicio!$C$22),0)))</f>
        <v/>
      </c>
      <c r="N67" s="74">
        <f>IF($B67="","",IF(AND($E67&lt;=0,$F67&gt;0),"QUIEBRE",IF(AND($F67=0,$E67&gt;0),"SIN ROTACIÓN",IF($J67="","",IF($J67&lt;Inicio!$C$23,"RIESGO DE QUIEBRE",IF($J67&gt;Inicio!$C$24*1.5,"EXCESO","SANO"))))))</f>
        <v/>
      </c>
      <c r="O67" s="74">
        <f>IF($M67="","",IF($J67="","",IF($J67&gt;2*$M67,"ENVIAR a otra tienda",IF($J67&lt;0.5*$M67,"PEDIR traslado","—"))))</f>
        <v/>
      </c>
    </row>
    <row r="68" ht="15" customHeight="1" s="47">
      <c r="A68" s="182" t="inlineStr">
        <is>
          <t>T02</t>
        </is>
      </c>
      <c r="B68" s="182" t="inlineStr">
        <is>
          <t>EL-014</t>
        </is>
      </c>
      <c r="C68" s="59">
        <f>IFERROR(INDEX(Productos!$B$5:$B$124,MATCH($B68,Productos!$A$5:$A$124,0)),"")</f>
        <v/>
      </c>
      <c r="D68" s="59">
        <f>IFERROR(INDEX(Productos!$D$5:$D$124,MATCH($B68,Productos!$A$5:$A$124,0)),"")</f>
        <v/>
      </c>
      <c r="E68" s="186" t="n">
        <v>3</v>
      </c>
      <c r="F68" s="70">
        <f>IF($B68="",0,SUMIFS(Ventas!$F$5:$F$504,Ventas!$B$5:$B$504,$A68,Ventas!$C$5:$C$504,$B68))</f>
        <v/>
      </c>
      <c r="G68" s="71">
        <f>IF($B68="",0,SUMIFS(Ventas!$L$5:$L$504,Ventas!$B$5:$B$504,$A68,Ventas!$C$5:$C$504,$B68))</f>
        <v/>
      </c>
      <c r="H68" s="71">
        <f>IF($B68="",0,SUMIFS(Ventas!$P$5:$P$504,Ventas!$B$5:$B$504,$A68,Ventas!$C$5:$C$504,$B68))</f>
        <v/>
      </c>
      <c r="I68" s="72">
        <f>IF($F68=0,0,$F68/Inicio!$C$22)</f>
        <v/>
      </c>
      <c r="J68" s="73">
        <f>IF($I68=0,"",ROUND($E68/$I68,0))</f>
        <v/>
      </c>
      <c r="K68" s="71">
        <f>IF($B68="",0,$E68*IFERROR(INDEX(Productos!$G$5:$G$124,MATCH($B68,Productos!$A$5:$A$124,0)),0))</f>
        <v/>
      </c>
      <c r="L68" s="71">
        <f>IF($K68=0,0,$K68*Inicio!$C$25/365*Inicio!$C$22)</f>
        <v/>
      </c>
      <c r="M68" s="73">
        <f>IF($B68="","",IF(SUMIF($B$5:$B$304,$B68,$F$5:$F$304)=0,"",ROUND(SUMIF($B$5:$B$304,$B68,$E$5:$E$304)/(SUMIF($B$5:$B$304,$B68,$F$5:$F$304)/Inicio!$C$22),0)))</f>
        <v/>
      </c>
      <c r="N68" s="74">
        <f>IF($B68="","",IF(AND($E68&lt;=0,$F68&gt;0),"QUIEBRE",IF(AND($F68=0,$E68&gt;0),"SIN ROTACIÓN",IF($J68="","",IF($J68&lt;Inicio!$C$23,"RIESGO DE QUIEBRE",IF($J68&gt;Inicio!$C$24*1.5,"EXCESO","SANO"))))))</f>
        <v/>
      </c>
      <c r="O68" s="74">
        <f>IF($M68="","",IF($J68="","",IF($J68&gt;2*$M68,"ENVIAR a otra tienda",IF($J68&lt;0.5*$M68,"PEDIR traslado","—"))))</f>
        <v/>
      </c>
    </row>
    <row r="69" ht="15" customHeight="1" s="47">
      <c r="A69" s="182" t="inlineStr">
        <is>
          <t>T02</t>
        </is>
      </c>
      <c r="B69" s="182" t="inlineStr">
        <is>
          <t>EL-016</t>
        </is>
      </c>
      <c r="C69" s="59">
        <f>IFERROR(INDEX(Productos!$B$5:$B$124,MATCH($B69,Productos!$A$5:$A$124,0)),"")</f>
        <v/>
      </c>
      <c r="D69" s="59">
        <f>IFERROR(INDEX(Productos!$D$5:$D$124,MATCH($B69,Productos!$A$5:$A$124,0)),"")</f>
        <v/>
      </c>
      <c r="E69" s="186" t="n">
        <v>13</v>
      </c>
      <c r="F69" s="70">
        <f>IF($B69="",0,SUMIFS(Ventas!$F$5:$F$504,Ventas!$B$5:$B$504,$A69,Ventas!$C$5:$C$504,$B69))</f>
        <v/>
      </c>
      <c r="G69" s="71">
        <f>IF($B69="",0,SUMIFS(Ventas!$L$5:$L$504,Ventas!$B$5:$B$504,$A69,Ventas!$C$5:$C$504,$B69))</f>
        <v/>
      </c>
      <c r="H69" s="71">
        <f>IF($B69="",0,SUMIFS(Ventas!$P$5:$P$504,Ventas!$B$5:$B$504,$A69,Ventas!$C$5:$C$504,$B69))</f>
        <v/>
      </c>
      <c r="I69" s="72">
        <f>IF($F69=0,0,$F69/Inicio!$C$22)</f>
        <v/>
      </c>
      <c r="J69" s="73">
        <f>IF($I69=0,"",ROUND($E69/$I69,0))</f>
        <v/>
      </c>
      <c r="K69" s="71">
        <f>IF($B69="",0,$E69*IFERROR(INDEX(Productos!$G$5:$G$124,MATCH($B69,Productos!$A$5:$A$124,0)),0))</f>
        <v/>
      </c>
      <c r="L69" s="71">
        <f>IF($K69=0,0,$K69*Inicio!$C$25/365*Inicio!$C$22)</f>
        <v/>
      </c>
      <c r="M69" s="73">
        <f>IF($B69="","",IF(SUMIF($B$5:$B$304,$B69,$F$5:$F$304)=0,"",ROUND(SUMIF($B$5:$B$304,$B69,$E$5:$E$304)/(SUMIF($B$5:$B$304,$B69,$F$5:$F$304)/Inicio!$C$22),0)))</f>
        <v/>
      </c>
      <c r="N69" s="74">
        <f>IF($B69="","",IF(AND($E69&lt;=0,$F69&gt;0),"QUIEBRE",IF(AND($F69=0,$E69&gt;0),"SIN ROTACIÓN",IF($J69="","",IF($J69&lt;Inicio!$C$23,"RIESGO DE QUIEBRE",IF($J69&gt;Inicio!$C$24*1.5,"EXCESO","SANO"))))))</f>
        <v/>
      </c>
      <c r="O69" s="74">
        <f>IF($M69="","",IF($J69="","",IF($J69&gt;2*$M69,"ENVIAR a otra tienda",IF($J69&lt;0.5*$M69,"PEDIR traslado","—"))))</f>
        <v/>
      </c>
    </row>
    <row r="70" ht="15" customHeight="1" s="47">
      <c r="A70" s="182" t="inlineStr">
        <is>
          <t>T02</t>
        </is>
      </c>
      <c r="B70" s="182" t="inlineStr">
        <is>
          <t>EL-017</t>
        </is>
      </c>
      <c r="C70" s="59">
        <f>IFERROR(INDEX(Productos!$B$5:$B$124,MATCH($B70,Productos!$A$5:$A$124,0)),"")</f>
        <v/>
      </c>
      <c r="D70" s="59">
        <f>IFERROR(INDEX(Productos!$D$5:$D$124,MATCH($B70,Productos!$A$5:$A$124,0)),"")</f>
        <v/>
      </c>
      <c r="E70" s="186" t="n">
        <v>4</v>
      </c>
      <c r="F70" s="70">
        <f>IF($B70="",0,SUMIFS(Ventas!$F$5:$F$504,Ventas!$B$5:$B$504,$A70,Ventas!$C$5:$C$504,$B70))</f>
        <v/>
      </c>
      <c r="G70" s="71">
        <f>IF($B70="",0,SUMIFS(Ventas!$L$5:$L$504,Ventas!$B$5:$B$504,$A70,Ventas!$C$5:$C$504,$B70))</f>
        <v/>
      </c>
      <c r="H70" s="71">
        <f>IF($B70="",0,SUMIFS(Ventas!$P$5:$P$504,Ventas!$B$5:$B$504,$A70,Ventas!$C$5:$C$504,$B70))</f>
        <v/>
      </c>
      <c r="I70" s="72">
        <f>IF($F70=0,0,$F70/Inicio!$C$22)</f>
        <v/>
      </c>
      <c r="J70" s="73">
        <f>IF($I70=0,"",ROUND($E70/$I70,0))</f>
        <v/>
      </c>
      <c r="K70" s="71">
        <f>IF($B70="",0,$E70*IFERROR(INDEX(Productos!$G$5:$G$124,MATCH($B70,Productos!$A$5:$A$124,0)),0))</f>
        <v/>
      </c>
      <c r="L70" s="71">
        <f>IF($K70=0,0,$K70*Inicio!$C$25/365*Inicio!$C$22)</f>
        <v/>
      </c>
      <c r="M70" s="73">
        <f>IF($B70="","",IF(SUMIF($B$5:$B$304,$B70,$F$5:$F$304)=0,"",ROUND(SUMIF($B$5:$B$304,$B70,$E$5:$E$304)/(SUMIF($B$5:$B$304,$B70,$F$5:$F$304)/Inicio!$C$22),0)))</f>
        <v/>
      </c>
      <c r="N70" s="74">
        <f>IF($B70="","",IF(AND($E70&lt;=0,$F70&gt;0),"QUIEBRE",IF(AND($F70=0,$E70&gt;0),"SIN ROTACIÓN",IF($J70="","",IF($J70&lt;Inicio!$C$23,"RIESGO DE QUIEBRE",IF($J70&gt;Inicio!$C$24*1.5,"EXCESO","SANO"))))))</f>
        <v/>
      </c>
      <c r="O70" s="74">
        <f>IF($M70="","",IF($J70="","",IF($J70&gt;2*$M70,"ENVIAR a otra tienda",IF($J70&lt;0.5*$M70,"PEDIR traslado","—"))))</f>
        <v/>
      </c>
    </row>
    <row r="71" ht="15" customHeight="1" s="47">
      <c r="A71" s="182" t="inlineStr">
        <is>
          <t>T02</t>
        </is>
      </c>
      <c r="B71" s="182" t="inlineStr">
        <is>
          <t>EL-018</t>
        </is>
      </c>
      <c r="C71" s="59">
        <f>IFERROR(INDEX(Productos!$B$5:$B$124,MATCH($B71,Productos!$A$5:$A$124,0)),"")</f>
        <v/>
      </c>
      <c r="D71" s="59">
        <f>IFERROR(INDEX(Productos!$D$5:$D$124,MATCH($B71,Productos!$A$5:$A$124,0)),"")</f>
        <v/>
      </c>
      <c r="E71" s="186" t="n">
        <v>4</v>
      </c>
      <c r="F71" s="70">
        <f>IF($B71="",0,SUMIFS(Ventas!$F$5:$F$504,Ventas!$B$5:$B$504,$A71,Ventas!$C$5:$C$504,$B71))</f>
        <v/>
      </c>
      <c r="G71" s="71">
        <f>IF($B71="",0,SUMIFS(Ventas!$L$5:$L$504,Ventas!$B$5:$B$504,$A71,Ventas!$C$5:$C$504,$B71))</f>
        <v/>
      </c>
      <c r="H71" s="71">
        <f>IF($B71="",0,SUMIFS(Ventas!$P$5:$P$504,Ventas!$B$5:$B$504,$A71,Ventas!$C$5:$C$504,$B71))</f>
        <v/>
      </c>
      <c r="I71" s="72">
        <f>IF($F71=0,0,$F71/Inicio!$C$22)</f>
        <v/>
      </c>
      <c r="J71" s="73">
        <f>IF($I71=0,"",ROUND($E71/$I71,0))</f>
        <v/>
      </c>
      <c r="K71" s="71">
        <f>IF($B71="",0,$E71*IFERROR(INDEX(Productos!$G$5:$G$124,MATCH($B71,Productos!$A$5:$A$124,0)),0))</f>
        <v/>
      </c>
      <c r="L71" s="71">
        <f>IF($K71=0,0,$K71*Inicio!$C$25/365*Inicio!$C$22)</f>
        <v/>
      </c>
      <c r="M71" s="73">
        <f>IF($B71="","",IF(SUMIF($B$5:$B$304,$B71,$F$5:$F$304)=0,"",ROUND(SUMIF($B$5:$B$304,$B71,$E$5:$E$304)/(SUMIF($B$5:$B$304,$B71,$F$5:$F$304)/Inicio!$C$22),0)))</f>
        <v/>
      </c>
      <c r="N71" s="74">
        <f>IF($B71="","",IF(AND($E71&lt;=0,$F71&gt;0),"QUIEBRE",IF(AND($F71=0,$E71&gt;0),"SIN ROTACIÓN",IF($J71="","",IF($J71&lt;Inicio!$C$23,"RIESGO DE QUIEBRE",IF($J71&gt;Inicio!$C$24*1.5,"EXCESO","SANO"))))))</f>
        <v/>
      </c>
      <c r="O71" s="74">
        <f>IF($M71="","",IF($J71="","",IF($J71&gt;2*$M71,"ENVIAR a otra tienda",IF($J71&lt;0.5*$M71,"PEDIR traslado","—"))))</f>
        <v/>
      </c>
    </row>
    <row r="72" ht="15" customHeight="1" s="47">
      <c r="A72" s="182" t="inlineStr">
        <is>
          <t>T02</t>
        </is>
      </c>
      <c r="B72" s="182" t="inlineStr">
        <is>
          <t>EL-019</t>
        </is>
      </c>
      <c r="C72" s="59">
        <f>IFERROR(INDEX(Productos!$B$5:$B$124,MATCH($B72,Productos!$A$5:$A$124,0)),"")</f>
        <v/>
      </c>
      <c r="D72" s="59">
        <f>IFERROR(INDEX(Productos!$D$5:$D$124,MATCH($B72,Productos!$A$5:$A$124,0)),"")</f>
        <v/>
      </c>
      <c r="E72" s="186" t="n">
        <v>4</v>
      </c>
      <c r="F72" s="70">
        <f>IF($B72="",0,SUMIFS(Ventas!$F$5:$F$504,Ventas!$B$5:$B$504,$A72,Ventas!$C$5:$C$504,$B72))</f>
        <v/>
      </c>
      <c r="G72" s="71">
        <f>IF($B72="",0,SUMIFS(Ventas!$L$5:$L$504,Ventas!$B$5:$B$504,$A72,Ventas!$C$5:$C$504,$B72))</f>
        <v/>
      </c>
      <c r="H72" s="71">
        <f>IF($B72="",0,SUMIFS(Ventas!$P$5:$P$504,Ventas!$B$5:$B$504,$A72,Ventas!$C$5:$C$504,$B72))</f>
        <v/>
      </c>
      <c r="I72" s="72">
        <f>IF($F72=0,0,$F72/Inicio!$C$22)</f>
        <v/>
      </c>
      <c r="J72" s="73">
        <f>IF($I72=0,"",ROUND($E72/$I72,0))</f>
        <v/>
      </c>
      <c r="K72" s="71">
        <f>IF($B72="",0,$E72*IFERROR(INDEX(Productos!$G$5:$G$124,MATCH($B72,Productos!$A$5:$A$124,0)),0))</f>
        <v/>
      </c>
      <c r="L72" s="71">
        <f>IF($K72=0,0,$K72*Inicio!$C$25/365*Inicio!$C$22)</f>
        <v/>
      </c>
      <c r="M72" s="73">
        <f>IF($B72="","",IF(SUMIF($B$5:$B$304,$B72,$F$5:$F$304)=0,"",ROUND(SUMIF($B$5:$B$304,$B72,$E$5:$E$304)/(SUMIF($B$5:$B$304,$B72,$F$5:$F$304)/Inicio!$C$22),0)))</f>
        <v/>
      </c>
      <c r="N72" s="74">
        <f>IF($B72="","",IF(AND($E72&lt;=0,$F72&gt;0),"QUIEBRE",IF(AND($F72=0,$E72&gt;0),"SIN ROTACIÓN",IF($J72="","",IF($J72&lt;Inicio!$C$23,"RIESGO DE QUIEBRE",IF($J72&gt;Inicio!$C$24*1.5,"EXCESO","SANO"))))))</f>
        <v/>
      </c>
      <c r="O72" s="74">
        <f>IF($M72="","",IF($J72="","",IF($J72&gt;2*$M72,"ENVIAR a otra tienda",IF($J72&lt;0.5*$M72,"PEDIR traslado","—"))))</f>
        <v/>
      </c>
    </row>
    <row r="73" ht="15" customHeight="1" s="47">
      <c r="A73" s="182" t="inlineStr">
        <is>
          <t>T02</t>
        </is>
      </c>
      <c r="B73" s="182" t="inlineStr">
        <is>
          <t>EL-020</t>
        </is>
      </c>
      <c r="C73" s="59">
        <f>IFERROR(INDEX(Productos!$B$5:$B$124,MATCH($B73,Productos!$A$5:$A$124,0)),"")</f>
        <v/>
      </c>
      <c r="D73" s="59">
        <f>IFERROR(INDEX(Productos!$D$5:$D$124,MATCH($B73,Productos!$A$5:$A$124,0)),"")</f>
        <v/>
      </c>
      <c r="E73" s="186" t="n">
        <v>28</v>
      </c>
      <c r="F73" s="70">
        <f>IF($B73="",0,SUMIFS(Ventas!$F$5:$F$504,Ventas!$B$5:$B$504,$A73,Ventas!$C$5:$C$504,$B73))</f>
        <v/>
      </c>
      <c r="G73" s="71">
        <f>IF($B73="",0,SUMIFS(Ventas!$L$5:$L$504,Ventas!$B$5:$B$504,$A73,Ventas!$C$5:$C$504,$B73))</f>
        <v/>
      </c>
      <c r="H73" s="71">
        <f>IF($B73="",0,SUMIFS(Ventas!$P$5:$P$504,Ventas!$B$5:$B$504,$A73,Ventas!$C$5:$C$504,$B73))</f>
        <v/>
      </c>
      <c r="I73" s="72">
        <f>IF($F73=0,0,$F73/Inicio!$C$22)</f>
        <v/>
      </c>
      <c r="J73" s="73">
        <f>IF($I73=0,"",ROUND($E73/$I73,0))</f>
        <v/>
      </c>
      <c r="K73" s="71">
        <f>IF($B73="",0,$E73*IFERROR(INDEX(Productos!$G$5:$G$124,MATCH($B73,Productos!$A$5:$A$124,0)),0))</f>
        <v/>
      </c>
      <c r="L73" s="71">
        <f>IF($K73=0,0,$K73*Inicio!$C$25/365*Inicio!$C$22)</f>
        <v/>
      </c>
      <c r="M73" s="73">
        <f>IF($B73="","",IF(SUMIF($B$5:$B$304,$B73,$F$5:$F$304)=0,"",ROUND(SUMIF($B$5:$B$304,$B73,$E$5:$E$304)/(SUMIF($B$5:$B$304,$B73,$F$5:$F$304)/Inicio!$C$22),0)))</f>
        <v/>
      </c>
      <c r="N73" s="74">
        <f>IF($B73="","",IF(AND($E73&lt;=0,$F73&gt;0),"QUIEBRE",IF(AND($F73=0,$E73&gt;0),"SIN ROTACIÓN",IF($J73="","",IF($J73&lt;Inicio!$C$23,"RIESGO DE QUIEBRE",IF($J73&gt;Inicio!$C$24*1.5,"EXCESO","SANO"))))))</f>
        <v/>
      </c>
      <c r="O73" s="74">
        <f>IF($M73="","",IF($J73="","",IF($J73&gt;2*$M73,"ENVIAR a otra tienda",IF($J73&lt;0.5*$M73,"PEDIR traslado","—"))))</f>
        <v/>
      </c>
    </row>
    <row r="74" ht="15" customHeight="1" s="47">
      <c r="A74" s="182" t="inlineStr">
        <is>
          <t>T02</t>
        </is>
      </c>
      <c r="B74" s="182" t="inlineStr">
        <is>
          <t>EL-021</t>
        </is>
      </c>
      <c r="C74" s="59">
        <f>IFERROR(INDEX(Productos!$B$5:$B$124,MATCH($B74,Productos!$A$5:$A$124,0)),"")</f>
        <v/>
      </c>
      <c r="D74" s="59">
        <f>IFERROR(INDEX(Productos!$D$5:$D$124,MATCH($B74,Productos!$A$5:$A$124,0)),"")</f>
        <v/>
      </c>
      <c r="E74" s="186" t="n">
        <v>0</v>
      </c>
      <c r="F74" s="70">
        <f>IF($B74="",0,SUMIFS(Ventas!$F$5:$F$504,Ventas!$B$5:$B$504,$A74,Ventas!$C$5:$C$504,$B74))</f>
        <v/>
      </c>
      <c r="G74" s="71">
        <f>IF($B74="",0,SUMIFS(Ventas!$L$5:$L$504,Ventas!$B$5:$B$504,$A74,Ventas!$C$5:$C$504,$B74))</f>
        <v/>
      </c>
      <c r="H74" s="71">
        <f>IF($B74="",0,SUMIFS(Ventas!$P$5:$P$504,Ventas!$B$5:$B$504,$A74,Ventas!$C$5:$C$504,$B74))</f>
        <v/>
      </c>
      <c r="I74" s="72">
        <f>IF($F74=0,0,$F74/Inicio!$C$22)</f>
        <v/>
      </c>
      <c r="J74" s="73">
        <f>IF($I74=0,"",ROUND($E74/$I74,0))</f>
        <v/>
      </c>
      <c r="K74" s="71">
        <f>IF($B74="",0,$E74*IFERROR(INDEX(Productos!$G$5:$G$124,MATCH($B74,Productos!$A$5:$A$124,0)),0))</f>
        <v/>
      </c>
      <c r="L74" s="71">
        <f>IF($K74=0,0,$K74*Inicio!$C$25/365*Inicio!$C$22)</f>
        <v/>
      </c>
      <c r="M74" s="73">
        <f>IF($B74="","",IF(SUMIF($B$5:$B$304,$B74,$F$5:$F$304)=0,"",ROUND(SUMIF($B$5:$B$304,$B74,$E$5:$E$304)/(SUMIF($B$5:$B$304,$B74,$F$5:$F$304)/Inicio!$C$22),0)))</f>
        <v/>
      </c>
      <c r="N74" s="74">
        <f>IF($B74="","",IF(AND($E74&lt;=0,$F74&gt;0),"QUIEBRE",IF(AND($F74=0,$E74&gt;0),"SIN ROTACIÓN",IF($J74="","",IF($J74&lt;Inicio!$C$23,"RIESGO DE QUIEBRE",IF($J74&gt;Inicio!$C$24*1.5,"EXCESO","SANO"))))))</f>
        <v/>
      </c>
      <c r="O74" s="74">
        <f>IF($M74="","",IF($J74="","",IF($J74&gt;2*$M74,"ENVIAR a otra tienda",IF($J74&lt;0.5*$M74,"PEDIR traslado","—"))))</f>
        <v/>
      </c>
    </row>
    <row r="75" ht="15" customHeight="1" s="47">
      <c r="A75" s="182" t="inlineStr">
        <is>
          <t>T02</t>
        </is>
      </c>
      <c r="B75" s="182" t="inlineStr">
        <is>
          <t>EL-022</t>
        </is>
      </c>
      <c r="C75" s="59">
        <f>IFERROR(INDEX(Productos!$B$5:$B$124,MATCH($B75,Productos!$A$5:$A$124,0)),"")</f>
        <v/>
      </c>
      <c r="D75" s="59">
        <f>IFERROR(INDEX(Productos!$D$5:$D$124,MATCH($B75,Productos!$A$5:$A$124,0)),"")</f>
        <v/>
      </c>
      <c r="E75" s="186" t="n">
        <v>1</v>
      </c>
      <c r="F75" s="70">
        <f>IF($B75="",0,SUMIFS(Ventas!$F$5:$F$504,Ventas!$B$5:$B$504,$A75,Ventas!$C$5:$C$504,$B75))</f>
        <v/>
      </c>
      <c r="G75" s="71">
        <f>IF($B75="",0,SUMIFS(Ventas!$L$5:$L$504,Ventas!$B$5:$B$504,$A75,Ventas!$C$5:$C$504,$B75))</f>
        <v/>
      </c>
      <c r="H75" s="71">
        <f>IF($B75="",0,SUMIFS(Ventas!$P$5:$P$504,Ventas!$B$5:$B$504,$A75,Ventas!$C$5:$C$504,$B75))</f>
        <v/>
      </c>
      <c r="I75" s="72">
        <f>IF($F75=0,0,$F75/Inicio!$C$22)</f>
        <v/>
      </c>
      <c r="J75" s="73">
        <f>IF($I75=0,"",ROUND($E75/$I75,0))</f>
        <v/>
      </c>
      <c r="K75" s="71">
        <f>IF($B75="",0,$E75*IFERROR(INDEX(Productos!$G$5:$G$124,MATCH($B75,Productos!$A$5:$A$124,0)),0))</f>
        <v/>
      </c>
      <c r="L75" s="71">
        <f>IF($K75=0,0,$K75*Inicio!$C$25/365*Inicio!$C$22)</f>
        <v/>
      </c>
      <c r="M75" s="73">
        <f>IF($B75="","",IF(SUMIF($B$5:$B$304,$B75,$F$5:$F$304)=0,"",ROUND(SUMIF($B$5:$B$304,$B75,$E$5:$E$304)/(SUMIF($B$5:$B$304,$B75,$F$5:$F$304)/Inicio!$C$22),0)))</f>
        <v/>
      </c>
      <c r="N75" s="74">
        <f>IF($B75="","",IF(AND($E75&lt;=0,$F75&gt;0),"QUIEBRE",IF(AND($F75=0,$E75&gt;0),"SIN ROTACIÓN",IF($J75="","",IF($J75&lt;Inicio!$C$23,"RIESGO DE QUIEBRE",IF($J75&gt;Inicio!$C$24*1.5,"EXCESO","SANO"))))))</f>
        <v/>
      </c>
      <c r="O75" s="74">
        <f>IF($M75="","",IF($J75="","",IF($J75&gt;2*$M75,"ENVIAR a otra tienda",IF($J75&lt;0.5*$M75,"PEDIR traslado","—"))))</f>
        <v/>
      </c>
    </row>
    <row r="76" ht="15" customHeight="1" s="47">
      <c r="A76" s="182" t="inlineStr">
        <is>
          <t>T02</t>
        </is>
      </c>
      <c r="B76" s="182" t="inlineStr">
        <is>
          <t>EL-023</t>
        </is>
      </c>
      <c r="C76" s="59">
        <f>IFERROR(INDEX(Productos!$B$5:$B$124,MATCH($B76,Productos!$A$5:$A$124,0)),"")</f>
        <v/>
      </c>
      <c r="D76" s="59">
        <f>IFERROR(INDEX(Productos!$D$5:$D$124,MATCH($B76,Productos!$A$5:$A$124,0)),"")</f>
        <v/>
      </c>
      <c r="E76" s="186" t="n">
        <v>3</v>
      </c>
      <c r="F76" s="70">
        <f>IF($B76="",0,SUMIFS(Ventas!$F$5:$F$504,Ventas!$B$5:$B$504,$A76,Ventas!$C$5:$C$504,$B76))</f>
        <v/>
      </c>
      <c r="G76" s="71">
        <f>IF($B76="",0,SUMIFS(Ventas!$L$5:$L$504,Ventas!$B$5:$B$504,$A76,Ventas!$C$5:$C$504,$B76))</f>
        <v/>
      </c>
      <c r="H76" s="71">
        <f>IF($B76="",0,SUMIFS(Ventas!$P$5:$P$504,Ventas!$B$5:$B$504,$A76,Ventas!$C$5:$C$504,$B76))</f>
        <v/>
      </c>
      <c r="I76" s="72">
        <f>IF($F76=0,0,$F76/Inicio!$C$22)</f>
        <v/>
      </c>
      <c r="J76" s="73">
        <f>IF($I76=0,"",ROUND($E76/$I76,0))</f>
        <v/>
      </c>
      <c r="K76" s="71">
        <f>IF($B76="",0,$E76*IFERROR(INDEX(Productos!$G$5:$G$124,MATCH($B76,Productos!$A$5:$A$124,0)),0))</f>
        <v/>
      </c>
      <c r="L76" s="71">
        <f>IF($K76=0,0,$K76*Inicio!$C$25/365*Inicio!$C$22)</f>
        <v/>
      </c>
      <c r="M76" s="73">
        <f>IF($B76="","",IF(SUMIF($B$5:$B$304,$B76,$F$5:$F$304)=0,"",ROUND(SUMIF($B$5:$B$304,$B76,$E$5:$E$304)/(SUMIF($B$5:$B$304,$B76,$F$5:$F$304)/Inicio!$C$22),0)))</f>
        <v/>
      </c>
      <c r="N76" s="74">
        <f>IF($B76="","",IF(AND($E76&lt;=0,$F76&gt;0),"QUIEBRE",IF(AND($F76=0,$E76&gt;0),"SIN ROTACIÓN",IF($J76="","",IF($J76&lt;Inicio!$C$23,"RIESGO DE QUIEBRE",IF($J76&gt;Inicio!$C$24*1.5,"EXCESO","SANO"))))))</f>
        <v/>
      </c>
      <c r="O76" s="74">
        <f>IF($M76="","",IF($J76="","",IF($J76&gt;2*$M76,"ENVIAR a otra tienda",IF($J76&lt;0.5*$M76,"PEDIR traslado","—"))))</f>
        <v/>
      </c>
    </row>
    <row r="77" ht="15" customHeight="1" s="47">
      <c r="A77" s="182" t="inlineStr">
        <is>
          <t>T02</t>
        </is>
      </c>
      <c r="B77" s="182" t="inlineStr">
        <is>
          <t>EL-024</t>
        </is>
      </c>
      <c r="C77" s="59">
        <f>IFERROR(INDEX(Productos!$B$5:$B$124,MATCH($B77,Productos!$A$5:$A$124,0)),"")</f>
        <v/>
      </c>
      <c r="D77" s="59">
        <f>IFERROR(INDEX(Productos!$D$5:$D$124,MATCH($B77,Productos!$A$5:$A$124,0)),"")</f>
        <v/>
      </c>
      <c r="E77" s="186" t="n">
        <v>10</v>
      </c>
      <c r="F77" s="70">
        <f>IF($B77="",0,SUMIFS(Ventas!$F$5:$F$504,Ventas!$B$5:$B$504,$A77,Ventas!$C$5:$C$504,$B77))</f>
        <v/>
      </c>
      <c r="G77" s="71">
        <f>IF($B77="",0,SUMIFS(Ventas!$L$5:$L$504,Ventas!$B$5:$B$504,$A77,Ventas!$C$5:$C$504,$B77))</f>
        <v/>
      </c>
      <c r="H77" s="71">
        <f>IF($B77="",0,SUMIFS(Ventas!$P$5:$P$504,Ventas!$B$5:$B$504,$A77,Ventas!$C$5:$C$504,$B77))</f>
        <v/>
      </c>
      <c r="I77" s="72">
        <f>IF($F77=0,0,$F77/Inicio!$C$22)</f>
        <v/>
      </c>
      <c r="J77" s="73">
        <f>IF($I77=0,"",ROUND($E77/$I77,0))</f>
        <v/>
      </c>
      <c r="K77" s="71">
        <f>IF($B77="",0,$E77*IFERROR(INDEX(Productos!$G$5:$G$124,MATCH($B77,Productos!$A$5:$A$124,0)),0))</f>
        <v/>
      </c>
      <c r="L77" s="71">
        <f>IF($K77=0,0,$K77*Inicio!$C$25/365*Inicio!$C$22)</f>
        <v/>
      </c>
      <c r="M77" s="73">
        <f>IF($B77="","",IF(SUMIF($B$5:$B$304,$B77,$F$5:$F$304)=0,"",ROUND(SUMIF($B$5:$B$304,$B77,$E$5:$E$304)/(SUMIF($B$5:$B$304,$B77,$F$5:$F$304)/Inicio!$C$22),0)))</f>
        <v/>
      </c>
      <c r="N77" s="74">
        <f>IF($B77="","",IF(AND($E77&lt;=0,$F77&gt;0),"QUIEBRE",IF(AND($F77=0,$E77&gt;0),"SIN ROTACIÓN",IF($J77="","",IF($J77&lt;Inicio!$C$23,"RIESGO DE QUIEBRE",IF($J77&gt;Inicio!$C$24*1.5,"EXCESO","SANO"))))))</f>
        <v/>
      </c>
      <c r="O77" s="74">
        <f>IF($M77="","",IF($J77="","",IF($J77&gt;2*$M77,"ENVIAR a otra tienda",IF($J77&lt;0.5*$M77,"PEDIR traslado","—"))))</f>
        <v/>
      </c>
    </row>
    <row r="78" ht="15" customHeight="1" s="47">
      <c r="A78" s="182" t="inlineStr">
        <is>
          <t>T02</t>
        </is>
      </c>
      <c r="B78" s="182" t="inlineStr">
        <is>
          <t>EL-025</t>
        </is>
      </c>
      <c r="C78" s="59">
        <f>IFERROR(INDEX(Productos!$B$5:$B$124,MATCH($B78,Productos!$A$5:$A$124,0)),"")</f>
        <v/>
      </c>
      <c r="D78" s="59">
        <f>IFERROR(INDEX(Productos!$D$5:$D$124,MATCH($B78,Productos!$A$5:$A$124,0)),"")</f>
        <v/>
      </c>
      <c r="E78" s="186" t="n">
        <v>18</v>
      </c>
      <c r="F78" s="70">
        <f>IF($B78="",0,SUMIFS(Ventas!$F$5:$F$504,Ventas!$B$5:$B$504,$A78,Ventas!$C$5:$C$504,$B78))</f>
        <v/>
      </c>
      <c r="G78" s="71">
        <f>IF($B78="",0,SUMIFS(Ventas!$L$5:$L$504,Ventas!$B$5:$B$504,$A78,Ventas!$C$5:$C$504,$B78))</f>
        <v/>
      </c>
      <c r="H78" s="71">
        <f>IF($B78="",0,SUMIFS(Ventas!$P$5:$P$504,Ventas!$B$5:$B$504,$A78,Ventas!$C$5:$C$504,$B78))</f>
        <v/>
      </c>
      <c r="I78" s="72">
        <f>IF($F78=0,0,$F78/Inicio!$C$22)</f>
        <v/>
      </c>
      <c r="J78" s="73">
        <f>IF($I78=0,"",ROUND($E78/$I78,0))</f>
        <v/>
      </c>
      <c r="K78" s="71">
        <f>IF($B78="",0,$E78*IFERROR(INDEX(Productos!$G$5:$G$124,MATCH($B78,Productos!$A$5:$A$124,0)),0))</f>
        <v/>
      </c>
      <c r="L78" s="71">
        <f>IF($K78=0,0,$K78*Inicio!$C$25/365*Inicio!$C$22)</f>
        <v/>
      </c>
      <c r="M78" s="73">
        <f>IF($B78="","",IF(SUMIF($B$5:$B$304,$B78,$F$5:$F$304)=0,"",ROUND(SUMIF($B$5:$B$304,$B78,$E$5:$E$304)/(SUMIF($B$5:$B$304,$B78,$F$5:$F$304)/Inicio!$C$22),0)))</f>
        <v/>
      </c>
      <c r="N78" s="74">
        <f>IF($B78="","",IF(AND($E78&lt;=0,$F78&gt;0),"QUIEBRE",IF(AND($F78=0,$E78&gt;0),"SIN ROTACIÓN",IF($J78="","",IF($J78&lt;Inicio!$C$23,"RIESGO DE QUIEBRE",IF($J78&gt;Inicio!$C$24*1.5,"EXCESO","SANO"))))))</f>
        <v/>
      </c>
      <c r="O78" s="74">
        <f>IF($M78="","",IF($J78="","",IF($J78&gt;2*$M78,"ENVIAR a otra tienda",IF($J78&lt;0.5*$M78,"PEDIR traslado","—"))))</f>
        <v/>
      </c>
    </row>
    <row r="79" ht="15" customHeight="1" s="47">
      <c r="A79" s="182" t="inlineStr">
        <is>
          <t>T02</t>
        </is>
      </c>
      <c r="B79" s="182" t="inlineStr">
        <is>
          <t>EL-026</t>
        </is>
      </c>
      <c r="C79" s="59">
        <f>IFERROR(INDEX(Productos!$B$5:$B$124,MATCH($B79,Productos!$A$5:$A$124,0)),"")</f>
        <v/>
      </c>
      <c r="D79" s="59">
        <f>IFERROR(INDEX(Productos!$D$5:$D$124,MATCH($B79,Productos!$A$5:$A$124,0)),"")</f>
        <v/>
      </c>
      <c r="E79" s="186" t="n">
        <v>28</v>
      </c>
      <c r="F79" s="70">
        <f>IF($B79="",0,SUMIFS(Ventas!$F$5:$F$504,Ventas!$B$5:$B$504,$A79,Ventas!$C$5:$C$504,$B79))</f>
        <v/>
      </c>
      <c r="G79" s="71">
        <f>IF($B79="",0,SUMIFS(Ventas!$L$5:$L$504,Ventas!$B$5:$B$504,$A79,Ventas!$C$5:$C$504,$B79))</f>
        <v/>
      </c>
      <c r="H79" s="71">
        <f>IF($B79="",0,SUMIFS(Ventas!$P$5:$P$504,Ventas!$B$5:$B$504,$A79,Ventas!$C$5:$C$504,$B79))</f>
        <v/>
      </c>
      <c r="I79" s="72">
        <f>IF($F79=0,0,$F79/Inicio!$C$22)</f>
        <v/>
      </c>
      <c r="J79" s="73">
        <f>IF($I79=0,"",ROUND($E79/$I79,0))</f>
        <v/>
      </c>
      <c r="K79" s="71">
        <f>IF($B79="",0,$E79*IFERROR(INDEX(Productos!$G$5:$G$124,MATCH($B79,Productos!$A$5:$A$124,0)),0))</f>
        <v/>
      </c>
      <c r="L79" s="71">
        <f>IF($K79=0,0,$K79*Inicio!$C$25/365*Inicio!$C$22)</f>
        <v/>
      </c>
      <c r="M79" s="73">
        <f>IF($B79="","",IF(SUMIF($B$5:$B$304,$B79,$F$5:$F$304)=0,"",ROUND(SUMIF($B$5:$B$304,$B79,$E$5:$E$304)/(SUMIF($B$5:$B$304,$B79,$F$5:$F$304)/Inicio!$C$22),0)))</f>
        <v/>
      </c>
      <c r="N79" s="74">
        <f>IF($B79="","",IF(AND($E79&lt;=0,$F79&gt;0),"QUIEBRE",IF(AND($F79=0,$E79&gt;0),"SIN ROTACIÓN",IF($J79="","",IF($J79&lt;Inicio!$C$23,"RIESGO DE QUIEBRE",IF($J79&gt;Inicio!$C$24*1.5,"EXCESO","SANO"))))))</f>
        <v/>
      </c>
      <c r="O79" s="74">
        <f>IF($M79="","",IF($J79="","",IF($J79&gt;2*$M79,"ENVIAR a otra tienda",IF($J79&lt;0.5*$M79,"PEDIR traslado","—"))))</f>
        <v/>
      </c>
    </row>
    <row r="80" ht="15" customHeight="1" s="47">
      <c r="A80" s="182" t="inlineStr">
        <is>
          <t>T02</t>
        </is>
      </c>
      <c r="B80" s="182" t="inlineStr">
        <is>
          <t>EL-027</t>
        </is>
      </c>
      <c r="C80" s="59">
        <f>IFERROR(INDEX(Productos!$B$5:$B$124,MATCH($B80,Productos!$A$5:$A$124,0)),"")</f>
        <v/>
      </c>
      <c r="D80" s="59">
        <f>IFERROR(INDEX(Productos!$D$5:$D$124,MATCH($B80,Productos!$A$5:$A$124,0)),"")</f>
        <v/>
      </c>
      <c r="E80" s="186" t="n">
        <v>3</v>
      </c>
      <c r="F80" s="70">
        <f>IF($B80="",0,SUMIFS(Ventas!$F$5:$F$504,Ventas!$B$5:$B$504,$A80,Ventas!$C$5:$C$504,$B80))</f>
        <v/>
      </c>
      <c r="G80" s="71">
        <f>IF($B80="",0,SUMIFS(Ventas!$L$5:$L$504,Ventas!$B$5:$B$504,$A80,Ventas!$C$5:$C$504,$B80))</f>
        <v/>
      </c>
      <c r="H80" s="71">
        <f>IF($B80="",0,SUMIFS(Ventas!$P$5:$P$504,Ventas!$B$5:$B$504,$A80,Ventas!$C$5:$C$504,$B80))</f>
        <v/>
      </c>
      <c r="I80" s="72">
        <f>IF($F80=0,0,$F80/Inicio!$C$22)</f>
        <v/>
      </c>
      <c r="J80" s="73">
        <f>IF($I80=0,"",ROUND($E80/$I80,0))</f>
        <v/>
      </c>
      <c r="K80" s="71">
        <f>IF($B80="",0,$E80*IFERROR(INDEX(Productos!$G$5:$G$124,MATCH($B80,Productos!$A$5:$A$124,0)),0))</f>
        <v/>
      </c>
      <c r="L80" s="71">
        <f>IF($K80=0,0,$K80*Inicio!$C$25/365*Inicio!$C$22)</f>
        <v/>
      </c>
      <c r="M80" s="73">
        <f>IF($B80="","",IF(SUMIF($B$5:$B$304,$B80,$F$5:$F$304)=0,"",ROUND(SUMIF($B$5:$B$304,$B80,$E$5:$E$304)/(SUMIF($B$5:$B$304,$B80,$F$5:$F$304)/Inicio!$C$22),0)))</f>
        <v/>
      </c>
      <c r="N80" s="74">
        <f>IF($B80="","",IF(AND($E80&lt;=0,$F80&gt;0),"QUIEBRE",IF(AND($F80=0,$E80&gt;0),"SIN ROTACIÓN",IF($J80="","",IF($J80&lt;Inicio!$C$23,"RIESGO DE QUIEBRE",IF($J80&gt;Inicio!$C$24*1.5,"EXCESO","SANO"))))))</f>
        <v/>
      </c>
      <c r="O80" s="74">
        <f>IF($M80="","",IF($J80="","",IF($J80&gt;2*$M80,"ENVIAR a otra tienda",IF($J80&lt;0.5*$M80,"PEDIR traslado","—"))))</f>
        <v/>
      </c>
    </row>
    <row r="81" ht="15" customHeight="1" s="47">
      <c r="A81" s="182" t="inlineStr">
        <is>
          <t>T02</t>
        </is>
      </c>
      <c r="B81" s="182" t="inlineStr">
        <is>
          <t>EL-028</t>
        </is>
      </c>
      <c r="C81" s="59">
        <f>IFERROR(INDEX(Productos!$B$5:$B$124,MATCH($B81,Productos!$A$5:$A$124,0)),"")</f>
        <v/>
      </c>
      <c r="D81" s="59">
        <f>IFERROR(INDEX(Productos!$D$5:$D$124,MATCH($B81,Productos!$A$5:$A$124,0)),"")</f>
        <v/>
      </c>
      <c r="E81" s="186" t="n">
        <v>3</v>
      </c>
      <c r="F81" s="70">
        <f>IF($B81="",0,SUMIFS(Ventas!$F$5:$F$504,Ventas!$B$5:$B$504,$A81,Ventas!$C$5:$C$504,$B81))</f>
        <v/>
      </c>
      <c r="G81" s="71">
        <f>IF($B81="",0,SUMIFS(Ventas!$L$5:$L$504,Ventas!$B$5:$B$504,$A81,Ventas!$C$5:$C$504,$B81))</f>
        <v/>
      </c>
      <c r="H81" s="71">
        <f>IF($B81="",0,SUMIFS(Ventas!$P$5:$P$504,Ventas!$B$5:$B$504,$A81,Ventas!$C$5:$C$504,$B81))</f>
        <v/>
      </c>
      <c r="I81" s="72">
        <f>IF($F81=0,0,$F81/Inicio!$C$22)</f>
        <v/>
      </c>
      <c r="J81" s="73">
        <f>IF($I81=0,"",ROUND($E81/$I81,0))</f>
        <v/>
      </c>
      <c r="K81" s="71">
        <f>IF($B81="",0,$E81*IFERROR(INDEX(Productos!$G$5:$G$124,MATCH($B81,Productos!$A$5:$A$124,0)),0))</f>
        <v/>
      </c>
      <c r="L81" s="71">
        <f>IF($K81=0,0,$K81*Inicio!$C$25/365*Inicio!$C$22)</f>
        <v/>
      </c>
      <c r="M81" s="73">
        <f>IF($B81="","",IF(SUMIF($B$5:$B$304,$B81,$F$5:$F$304)=0,"",ROUND(SUMIF($B$5:$B$304,$B81,$E$5:$E$304)/(SUMIF($B$5:$B$304,$B81,$F$5:$F$304)/Inicio!$C$22),0)))</f>
        <v/>
      </c>
      <c r="N81" s="74">
        <f>IF($B81="","",IF(AND($E81&lt;=0,$F81&gt;0),"QUIEBRE",IF(AND($F81=0,$E81&gt;0),"SIN ROTACIÓN",IF($J81="","",IF($J81&lt;Inicio!$C$23,"RIESGO DE QUIEBRE",IF($J81&gt;Inicio!$C$24*1.5,"EXCESO","SANO"))))))</f>
        <v/>
      </c>
      <c r="O81" s="74">
        <f>IF($M81="","",IF($J81="","",IF($J81&gt;2*$M81,"ENVIAR a otra tienda",IF($J81&lt;0.5*$M81,"PEDIR traslado","—"))))</f>
        <v/>
      </c>
    </row>
    <row r="82" ht="15" customHeight="1" s="47">
      <c r="A82" s="182" t="inlineStr">
        <is>
          <t>T02</t>
        </is>
      </c>
      <c r="B82" s="182" t="inlineStr">
        <is>
          <t>EL-029</t>
        </is>
      </c>
      <c r="C82" s="59">
        <f>IFERROR(INDEX(Productos!$B$5:$B$124,MATCH($B82,Productos!$A$5:$A$124,0)),"")</f>
        <v/>
      </c>
      <c r="D82" s="59">
        <f>IFERROR(INDEX(Productos!$D$5:$D$124,MATCH($B82,Productos!$A$5:$A$124,0)),"")</f>
        <v/>
      </c>
      <c r="E82" s="186" t="n">
        <v>3</v>
      </c>
      <c r="F82" s="70">
        <f>IF($B82="",0,SUMIFS(Ventas!$F$5:$F$504,Ventas!$B$5:$B$504,$A82,Ventas!$C$5:$C$504,$B82))</f>
        <v/>
      </c>
      <c r="G82" s="71">
        <f>IF($B82="",0,SUMIFS(Ventas!$L$5:$L$504,Ventas!$B$5:$B$504,$A82,Ventas!$C$5:$C$504,$B82))</f>
        <v/>
      </c>
      <c r="H82" s="71">
        <f>IF($B82="",0,SUMIFS(Ventas!$P$5:$P$504,Ventas!$B$5:$B$504,$A82,Ventas!$C$5:$C$504,$B82))</f>
        <v/>
      </c>
      <c r="I82" s="72">
        <f>IF($F82=0,0,$F82/Inicio!$C$22)</f>
        <v/>
      </c>
      <c r="J82" s="73">
        <f>IF($I82=0,"",ROUND($E82/$I82,0))</f>
        <v/>
      </c>
      <c r="K82" s="71">
        <f>IF($B82="",0,$E82*IFERROR(INDEX(Productos!$G$5:$G$124,MATCH($B82,Productos!$A$5:$A$124,0)),0))</f>
        <v/>
      </c>
      <c r="L82" s="71">
        <f>IF($K82=0,0,$K82*Inicio!$C$25/365*Inicio!$C$22)</f>
        <v/>
      </c>
      <c r="M82" s="73">
        <f>IF($B82="","",IF(SUMIF($B$5:$B$304,$B82,$F$5:$F$304)=0,"",ROUND(SUMIF($B$5:$B$304,$B82,$E$5:$E$304)/(SUMIF($B$5:$B$304,$B82,$F$5:$F$304)/Inicio!$C$22),0)))</f>
        <v/>
      </c>
      <c r="N82" s="74">
        <f>IF($B82="","",IF(AND($E82&lt;=0,$F82&gt;0),"QUIEBRE",IF(AND($F82=0,$E82&gt;0),"SIN ROTACIÓN",IF($J82="","",IF($J82&lt;Inicio!$C$23,"RIESGO DE QUIEBRE",IF($J82&gt;Inicio!$C$24*1.5,"EXCESO","SANO"))))))</f>
        <v/>
      </c>
      <c r="O82" s="74">
        <f>IF($M82="","",IF($J82="","",IF($J82&gt;2*$M82,"ENVIAR a otra tienda",IF($J82&lt;0.5*$M82,"PEDIR traslado","—"))))</f>
        <v/>
      </c>
    </row>
    <row r="83" ht="15" customHeight="1" s="47">
      <c r="A83" s="182" t="inlineStr">
        <is>
          <t>T02</t>
        </is>
      </c>
      <c r="B83" s="182" t="inlineStr">
        <is>
          <t>EL-030</t>
        </is>
      </c>
      <c r="C83" s="59">
        <f>IFERROR(INDEX(Productos!$B$5:$B$124,MATCH($B83,Productos!$A$5:$A$124,0)),"")</f>
        <v/>
      </c>
      <c r="D83" s="59">
        <f>IFERROR(INDEX(Productos!$D$5:$D$124,MATCH($B83,Productos!$A$5:$A$124,0)),"")</f>
        <v/>
      </c>
      <c r="E83" s="186" t="n">
        <v>15</v>
      </c>
      <c r="F83" s="70">
        <f>IF($B83="",0,SUMIFS(Ventas!$F$5:$F$504,Ventas!$B$5:$B$504,$A83,Ventas!$C$5:$C$504,$B83))</f>
        <v/>
      </c>
      <c r="G83" s="71">
        <f>IF($B83="",0,SUMIFS(Ventas!$L$5:$L$504,Ventas!$B$5:$B$504,$A83,Ventas!$C$5:$C$504,$B83))</f>
        <v/>
      </c>
      <c r="H83" s="71">
        <f>IF($B83="",0,SUMIFS(Ventas!$P$5:$P$504,Ventas!$B$5:$B$504,$A83,Ventas!$C$5:$C$504,$B83))</f>
        <v/>
      </c>
      <c r="I83" s="72">
        <f>IF($F83=0,0,$F83/Inicio!$C$22)</f>
        <v/>
      </c>
      <c r="J83" s="73">
        <f>IF($I83=0,"",ROUND($E83/$I83,0))</f>
        <v/>
      </c>
      <c r="K83" s="71">
        <f>IF($B83="",0,$E83*IFERROR(INDEX(Productos!$G$5:$G$124,MATCH($B83,Productos!$A$5:$A$124,0)),0))</f>
        <v/>
      </c>
      <c r="L83" s="71">
        <f>IF($K83=0,0,$K83*Inicio!$C$25/365*Inicio!$C$22)</f>
        <v/>
      </c>
      <c r="M83" s="73">
        <f>IF($B83="","",IF(SUMIF($B$5:$B$304,$B83,$F$5:$F$304)=0,"",ROUND(SUMIF($B$5:$B$304,$B83,$E$5:$E$304)/(SUMIF($B$5:$B$304,$B83,$F$5:$F$304)/Inicio!$C$22),0)))</f>
        <v/>
      </c>
      <c r="N83" s="74">
        <f>IF($B83="","",IF(AND($E83&lt;=0,$F83&gt;0),"QUIEBRE",IF(AND($F83=0,$E83&gt;0),"SIN ROTACIÓN",IF($J83="","",IF($J83&lt;Inicio!$C$23,"RIESGO DE QUIEBRE",IF($J83&gt;Inicio!$C$24*1.5,"EXCESO","SANO"))))))</f>
        <v/>
      </c>
      <c r="O83" s="74">
        <f>IF($M83="","",IF($J83="","",IF($J83&gt;2*$M83,"ENVIAR a otra tienda",IF($J83&lt;0.5*$M83,"PEDIR traslado","—"))))</f>
        <v/>
      </c>
    </row>
    <row r="84" ht="15" customHeight="1" s="47">
      <c r="A84" s="182" t="inlineStr">
        <is>
          <t>T02</t>
        </is>
      </c>
      <c r="B84" s="182" t="inlineStr">
        <is>
          <t>EL-031</t>
        </is>
      </c>
      <c r="C84" s="59">
        <f>IFERROR(INDEX(Productos!$B$5:$B$124,MATCH($B84,Productos!$A$5:$A$124,0)),"")</f>
        <v/>
      </c>
      <c r="D84" s="59">
        <f>IFERROR(INDEX(Productos!$D$5:$D$124,MATCH($B84,Productos!$A$5:$A$124,0)),"")</f>
        <v/>
      </c>
      <c r="E84" s="186" t="n">
        <v>0</v>
      </c>
      <c r="F84" s="70">
        <f>IF($B84="",0,SUMIFS(Ventas!$F$5:$F$504,Ventas!$B$5:$B$504,$A84,Ventas!$C$5:$C$504,$B84))</f>
        <v/>
      </c>
      <c r="G84" s="71">
        <f>IF($B84="",0,SUMIFS(Ventas!$L$5:$L$504,Ventas!$B$5:$B$504,$A84,Ventas!$C$5:$C$504,$B84))</f>
        <v/>
      </c>
      <c r="H84" s="71">
        <f>IF($B84="",0,SUMIFS(Ventas!$P$5:$P$504,Ventas!$B$5:$B$504,$A84,Ventas!$C$5:$C$504,$B84))</f>
        <v/>
      </c>
      <c r="I84" s="72">
        <f>IF($F84=0,0,$F84/Inicio!$C$22)</f>
        <v/>
      </c>
      <c r="J84" s="73">
        <f>IF($I84=0,"",ROUND($E84/$I84,0))</f>
        <v/>
      </c>
      <c r="K84" s="71">
        <f>IF($B84="",0,$E84*IFERROR(INDEX(Productos!$G$5:$G$124,MATCH($B84,Productos!$A$5:$A$124,0)),0))</f>
        <v/>
      </c>
      <c r="L84" s="71">
        <f>IF($K84=0,0,$K84*Inicio!$C$25/365*Inicio!$C$22)</f>
        <v/>
      </c>
      <c r="M84" s="73">
        <f>IF($B84="","",IF(SUMIF($B$5:$B$304,$B84,$F$5:$F$304)=0,"",ROUND(SUMIF($B$5:$B$304,$B84,$E$5:$E$304)/(SUMIF($B$5:$B$304,$B84,$F$5:$F$304)/Inicio!$C$22),0)))</f>
        <v/>
      </c>
      <c r="N84" s="74">
        <f>IF($B84="","",IF(AND($E84&lt;=0,$F84&gt;0),"QUIEBRE",IF(AND($F84=0,$E84&gt;0),"SIN ROTACIÓN",IF($J84="","",IF($J84&lt;Inicio!$C$23,"RIESGO DE QUIEBRE",IF($J84&gt;Inicio!$C$24*1.5,"EXCESO","SANO"))))))</f>
        <v/>
      </c>
      <c r="O84" s="74">
        <f>IF($M84="","",IF($J84="","",IF($J84&gt;2*$M84,"ENVIAR a otra tienda",IF($J84&lt;0.5*$M84,"PEDIR traslado","—"))))</f>
        <v/>
      </c>
    </row>
    <row r="85" ht="15" customHeight="1" s="47">
      <c r="A85" s="182" t="inlineStr">
        <is>
          <t>T02</t>
        </is>
      </c>
      <c r="B85" s="182" t="inlineStr">
        <is>
          <t>EL-032</t>
        </is>
      </c>
      <c r="C85" s="59">
        <f>IFERROR(INDEX(Productos!$B$5:$B$124,MATCH($B85,Productos!$A$5:$A$124,0)),"")</f>
        <v/>
      </c>
      <c r="D85" s="59">
        <f>IFERROR(INDEX(Productos!$D$5:$D$124,MATCH($B85,Productos!$A$5:$A$124,0)),"")</f>
        <v/>
      </c>
      <c r="E85" s="186" t="n">
        <v>1</v>
      </c>
      <c r="F85" s="70">
        <f>IF($B85="",0,SUMIFS(Ventas!$F$5:$F$504,Ventas!$B$5:$B$504,$A85,Ventas!$C$5:$C$504,$B85))</f>
        <v/>
      </c>
      <c r="G85" s="71">
        <f>IF($B85="",0,SUMIFS(Ventas!$L$5:$L$504,Ventas!$B$5:$B$504,$A85,Ventas!$C$5:$C$504,$B85))</f>
        <v/>
      </c>
      <c r="H85" s="71">
        <f>IF($B85="",0,SUMIFS(Ventas!$P$5:$P$504,Ventas!$B$5:$B$504,$A85,Ventas!$C$5:$C$504,$B85))</f>
        <v/>
      </c>
      <c r="I85" s="72">
        <f>IF($F85=0,0,$F85/Inicio!$C$22)</f>
        <v/>
      </c>
      <c r="J85" s="73">
        <f>IF($I85=0,"",ROUND($E85/$I85,0))</f>
        <v/>
      </c>
      <c r="K85" s="71">
        <f>IF($B85="",0,$E85*IFERROR(INDEX(Productos!$G$5:$G$124,MATCH($B85,Productos!$A$5:$A$124,0)),0))</f>
        <v/>
      </c>
      <c r="L85" s="71">
        <f>IF($K85=0,0,$K85*Inicio!$C$25/365*Inicio!$C$22)</f>
        <v/>
      </c>
      <c r="M85" s="73">
        <f>IF($B85="","",IF(SUMIF($B$5:$B$304,$B85,$F$5:$F$304)=0,"",ROUND(SUMIF($B$5:$B$304,$B85,$E$5:$E$304)/(SUMIF($B$5:$B$304,$B85,$F$5:$F$304)/Inicio!$C$22),0)))</f>
        <v/>
      </c>
      <c r="N85" s="74">
        <f>IF($B85="","",IF(AND($E85&lt;=0,$F85&gt;0),"QUIEBRE",IF(AND($F85=0,$E85&gt;0),"SIN ROTACIÓN",IF($J85="","",IF($J85&lt;Inicio!$C$23,"RIESGO DE QUIEBRE",IF($J85&gt;Inicio!$C$24*1.5,"EXCESO","SANO"))))))</f>
        <v/>
      </c>
      <c r="O85" s="74">
        <f>IF($M85="","",IF($J85="","",IF($J85&gt;2*$M85,"ENVIAR a otra tienda",IF($J85&lt;0.5*$M85,"PEDIR traslado","—"))))</f>
        <v/>
      </c>
    </row>
    <row r="86" ht="15" customHeight="1" s="47">
      <c r="A86" s="182" t="inlineStr">
        <is>
          <t>T02</t>
        </is>
      </c>
      <c r="B86" s="182" t="inlineStr">
        <is>
          <t>EL-033</t>
        </is>
      </c>
      <c r="C86" s="59">
        <f>IFERROR(INDEX(Productos!$B$5:$B$124,MATCH($B86,Productos!$A$5:$A$124,0)),"")</f>
        <v/>
      </c>
      <c r="D86" s="59">
        <f>IFERROR(INDEX(Productos!$D$5:$D$124,MATCH($B86,Productos!$A$5:$A$124,0)),"")</f>
        <v/>
      </c>
      <c r="E86" s="186" t="n">
        <v>2</v>
      </c>
      <c r="F86" s="70">
        <f>IF($B86="",0,SUMIFS(Ventas!$F$5:$F$504,Ventas!$B$5:$B$504,$A86,Ventas!$C$5:$C$504,$B86))</f>
        <v/>
      </c>
      <c r="G86" s="71">
        <f>IF($B86="",0,SUMIFS(Ventas!$L$5:$L$504,Ventas!$B$5:$B$504,$A86,Ventas!$C$5:$C$504,$B86))</f>
        <v/>
      </c>
      <c r="H86" s="71">
        <f>IF($B86="",0,SUMIFS(Ventas!$P$5:$P$504,Ventas!$B$5:$B$504,$A86,Ventas!$C$5:$C$504,$B86))</f>
        <v/>
      </c>
      <c r="I86" s="72">
        <f>IF($F86=0,0,$F86/Inicio!$C$22)</f>
        <v/>
      </c>
      <c r="J86" s="73">
        <f>IF($I86=0,"",ROUND($E86/$I86,0))</f>
        <v/>
      </c>
      <c r="K86" s="71">
        <f>IF($B86="",0,$E86*IFERROR(INDEX(Productos!$G$5:$G$124,MATCH($B86,Productos!$A$5:$A$124,0)),0))</f>
        <v/>
      </c>
      <c r="L86" s="71">
        <f>IF($K86=0,0,$K86*Inicio!$C$25/365*Inicio!$C$22)</f>
        <v/>
      </c>
      <c r="M86" s="73">
        <f>IF($B86="","",IF(SUMIF($B$5:$B$304,$B86,$F$5:$F$304)=0,"",ROUND(SUMIF($B$5:$B$304,$B86,$E$5:$E$304)/(SUMIF($B$5:$B$304,$B86,$F$5:$F$304)/Inicio!$C$22),0)))</f>
        <v/>
      </c>
      <c r="N86" s="74">
        <f>IF($B86="","",IF(AND($E86&lt;=0,$F86&gt;0),"QUIEBRE",IF(AND($F86=0,$E86&gt;0),"SIN ROTACIÓN",IF($J86="","",IF($J86&lt;Inicio!$C$23,"RIESGO DE QUIEBRE",IF($J86&gt;Inicio!$C$24*1.5,"EXCESO","SANO"))))))</f>
        <v/>
      </c>
      <c r="O86" s="74">
        <f>IF($M86="","",IF($J86="","",IF($J86&gt;2*$M86,"ENVIAR a otra tienda",IF($J86&lt;0.5*$M86,"PEDIR traslado","—"))))</f>
        <v/>
      </c>
    </row>
    <row r="87" ht="15" customHeight="1" s="47">
      <c r="A87" s="182" t="inlineStr">
        <is>
          <t>T02</t>
        </is>
      </c>
      <c r="B87" s="182" t="inlineStr">
        <is>
          <t>EL-034</t>
        </is>
      </c>
      <c r="C87" s="59">
        <f>IFERROR(INDEX(Productos!$B$5:$B$124,MATCH($B87,Productos!$A$5:$A$124,0)),"")</f>
        <v/>
      </c>
      <c r="D87" s="59">
        <f>IFERROR(INDEX(Productos!$D$5:$D$124,MATCH($B87,Productos!$A$5:$A$124,0)),"")</f>
        <v/>
      </c>
      <c r="E87" s="186" t="n">
        <v>4</v>
      </c>
      <c r="F87" s="70">
        <f>IF($B87="",0,SUMIFS(Ventas!$F$5:$F$504,Ventas!$B$5:$B$504,$A87,Ventas!$C$5:$C$504,$B87))</f>
        <v/>
      </c>
      <c r="G87" s="71">
        <f>IF($B87="",0,SUMIFS(Ventas!$L$5:$L$504,Ventas!$B$5:$B$504,$A87,Ventas!$C$5:$C$504,$B87))</f>
        <v/>
      </c>
      <c r="H87" s="71">
        <f>IF($B87="",0,SUMIFS(Ventas!$P$5:$P$504,Ventas!$B$5:$B$504,$A87,Ventas!$C$5:$C$504,$B87))</f>
        <v/>
      </c>
      <c r="I87" s="72">
        <f>IF($F87=0,0,$F87/Inicio!$C$22)</f>
        <v/>
      </c>
      <c r="J87" s="73">
        <f>IF($I87=0,"",ROUND($E87/$I87,0))</f>
        <v/>
      </c>
      <c r="K87" s="71">
        <f>IF($B87="",0,$E87*IFERROR(INDEX(Productos!$G$5:$G$124,MATCH($B87,Productos!$A$5:$A$124,0)),0))</f>
        <v/>
      </c>
      <c r="L87" s="71">
        <f>IF($K87=0,0,$K87*Inicio!$C$25/365*Inicio!$C$22)</f>
        <v/>
      </c>
      <c r="M87" s="73">
        <f>IF($B87="","",IF(SUMIF($B$5:$B$304,$B87,$F$5:$F$304)=0,"",ROUND(SUMIF($B$5:$B$304,$B87,$E$5:$E$304)/(SUMIF($B$5:$B$304,$B87,$F$5:$F$304)/Inicio!$C$22),0)))</f>
        <v/>
      </c>
      <c r="N87" s="74">
        <f>IF($B87="","",IF(AND($E87&lt;=0,$F87&gt;0),"QUIEBRE",IF(AND($F87=0,$E87&gt;0),"SIN ROTACIÓN",IF($J87="","",IF($J87&lt;Inicio!$C$23,"RIESGO DE QUIEBRE",IF($J87&gt;Inicio!$C$24*1.5,"EXCESO","SANO"))))))</f>
        <v/>
      </c>
      <c r="O87" s="74">
        <f>IF($M87="","",IF($J87="","",IF($J87&gt;2*$M87,"ENVIAR a otra tienda",IF($J87&lt;0.5*$M87,"PEDIR traslado","—"))))</f>
        <v/>
      </c>
    </row>
    <row r="88" ht="15" customHeight="1" s="47">
      <c r="A88" s="182" t="inlineStr">
        <is>
          <t>T02</t>
        </is>
      </c>
      <c r="B88" s="182" t="inlineStr">
        <is>
          <t>EL-035</t>
        </is>
      </c>
      <c r="C88" s="59">
        <f>IFERROR(INDEX(Productos!$B$5:$B$124,MATCH($B88,Productos!$A$5:$A$124,0)),"")</f>
        <v/>
      </c>
      <c r="D88" s="59">
        <f>IFERROR(INDEX(Productos!$D$5:$D$124,MATCH($B88,Productos!$A$5:$A$124,0)),"")</f>
        <v/>
      </c>
      <c r="E88" s="186" t="n">
        <v>4</v>
      </c>
      <c r="F88" s="70">
        <f>IF($B88="",0,SUMIFS(Ventas!$F$5:$F$504,Ventas!$B$5:$B$504,$A88,Ventas!$C$5:$C$504,$B88))</f>
        <v/>
      </c>
      <c r="G88" s="71">
        <f>IF($B88="",0,SUMIFS(Ventas!$L$5:$L$504,Ventas!$B$5:$B$504,$A88,Ventas!$C$5:$C$504,$B88))</f>
        <v/>
      </c>
      <c r="H88" s="71">
        <f>IF($B88="",0,SUMIFS(Ventas!$P$5:$P$504,Ventas!$B$5:$B$504,$A88,Ventas!$C$5:$C$504,$B88))</f>
        <v/>
      </c>
      <c r="I88" s="72">
        <f>IF($F88=0,0,$F88/Inicio!$C$22)</f>
        <v/>
      </c>
      <c r="J88" s="73">
        <f>IF($I88=0,"",ROUND($E88/$I88,0))</f>
        <v/>
      </c>
      <c r="K88" s="71">
        <f>IF($B88="",0,$E88*IFERROR(INDEX(Productos!$G$5:$G$124,MATCH($B88,Productos!$A$5:$A$124,0)),0))</f>
        <v/>
      </c>
      <c r="L88" s="71">
        <f>IF($K88=0,0,$K88*Inicio!$C$25/365*Inicio!$C$22)</f>
        <v/>
      </c>
      <c r="M88" s="73">
        <f>IF($B88="","",IF(SUMIF($B$5:$B$304,$B88,$F$5:$F$304)=0,"",ROUND(SUMIF($B$5:$B$304,$B88,$E$5:$E$304)/(SUMIF($B$5:$B$304,$B88,$F$5:$F$304)/Inicio!$C$22),0)))</f>
        <v/>
      </c>
      <c r="N88" s="74">
        <f>IF($B88="","",IF(AND($E88&lt;=0,$F88&gt;0),"QUIEBRE",IF(AND($F88=0,$E88&gt;0),"SIN ROTACIÓN",IF($J88="","",IF($J88&lt;Inicio!$C$23,"RIESGO DE QUIEBRE",IF($J88&gt;Inicio!$C$24*1.5,"EXCESO","SANO"))))))</f>
        <v/>
      </c>
      <c r="O88" s="74">
        <f>IF($M88="","",IF($J88="","",IF($J88&gt;2*$M88,"ENVIAR a otra tienda",IF($J88&lt;0.5*$M88,"PEDIR traslado","—"))))</f>
        <v/>
      </c>
    </row>
    <row r="89" ht="15" customHeight="1" s="47">
      <c r="A89" s="182" t="inlineStr">
        <is>
          <t>T02</t>
        </is>
      </c>
      <c r="B89" s="182" t="inlineStr">
        <is>
          <t>EL-036</t>
        </is>
      </c>
      <c r="C89" s="59">
        <f>IFERROR(INDEX(Productos!$B$5:$B$124,MATCH($B89,Productos!$A$5:$A$124,0)),"")</f>
        <v/>
      </c>
      <c r="D89" s="59">
        <f>IFERROR(INDEX(Productos!$D$5:$D$124,MATCH($B89,Productos!$A$5:$A$124,0)),"")</f>
        <v/>
      </c>
      <c r="E89" s="186" t="n">
        <v>17</v>
      </c>
      <c r="F89" s="70">
        <f>IF($B89="",0,SUMIFS(Ventas!$F$5:$F$504,Ventas!$B$5:$B$504,$A89,Ventas!$C$5:$C$504,$B89))</f>
        <v/>
      </c>
      <c r="G89" s="71">
        <f>IF($B89="",0,SUMIFS(Ventas!$L$5:$L$504,Ventas!$B$5:$B$504,$A89,Ventas!$C$5:$C$504,$B89))</f>
        <v/>
      </c>
      <c r="H89" s="71">
        <f>IF($B89="",0,SUMIFS(Ventas!$P$5:$P$504,Ventas!$B$5:$B$504,$A89,Ventas!$C$5:$C$504,$B89))</f>
        <v/>
      </c>
      <c r="I89" s="72">
        <f>IF($F89=0,0,$F89/Inicio!$C$22)</f>
        <v/>
      </c>
      <c r="J89" s="73">
        <f>IF($I89=0,"",ROUND($E89/$I89,0))</f>
        <v/>
      </c>
      <c r="K89" s="71">
        <f>IF($B89="",0,$E89*IFERROR(INDEX(Productos!$G$5:$G$124,MATCH($B89,Productos!$A$5:$A$124,0)),0))</f>
        <v/>
      </c>
      <c r="L89" s="71">
        <f>IF($K89=0,0,$K89*Inicio!$C$25/365*Inicio!$C$22)</f>
        <v/>
      </c>
      <c r="M89" s="73">
        <f>IF($B89="","",IF(SUMIF($B$5:$B$304,$B89,$F$5:$F$304)=0,"",ROUND(SUMIF($B$5:$B$304,$B89,$E$5:$E$304)/(SUMIF($B$5:$B$304,$B89,$F$5:$F$304)/Inicio!$C$22),0)))</f>
        <v/>
      </c>
      <c r="N89" s="74">
        <f>IF($B89="","",IF(AND($E89&lt;=0,$F89&gt;0),"QUIEBRE",IF(AND($F89=0,$E89&gt;0),"SIN ROTACIÓN",IF($J89="","",IF($J89&lt;Inicio!$C$23,"RIESGO DE QUIEBRE",IF($J89&gt;Inicio!$C$24*1.5,"EXCESO","SANO"))))))</f>
        <v/>
      </c>
      <c r="O89" s="74">
        <f>IF($M89="","",IF($J89="","",IF($J89&gt;2*$M89,"ENVIAR a otra tienda",IF($J89&lt;0.5*$M89,"PEDIR traslado","—"))))</f>
        <v/>
      </c>
    </row>
    <row r="90" ht="15" customHeight="1" s="47">
      <c r="A90" s="182" t="inlineStr">
        <is>
          <t>T02</t>
        </is>
      </c>
      <c r="B90" s="182" t="inlineStr">
        <is>
          <t>EL-037</t>
        </is>
      </c>
      <c r="C90" s="59">
        <f>IFERROR(INDEX(Productos!$B$5:$B$124,MATCH($B90,Productos!$A$5:$A$124,0)),"")</f>
        <v/>
      </c>
      <c r="D90" s="59">
        <f>IFERROR(INDEX(Productos!$D$5:$D$124,MATCH($B90,Productos!$A$5:$A$124,0)),"")</f>
        <v/>
      </c>
      <c r="E90" s="186" t="n">
        <v>3</v>
      </c>
      <c r="F90" s="70">
        <f>IF($B90="",0,SUMIFS(Ventas!$F$5:$F$504,Ventas!$B$5:$B$504,$A90,Ventas!$C$5:$C$504,$B90))</f>
        <v/>
      </c>
      <c r="G90" s="71">
        <f>IF($B90="",0,SUMIFS(Ventas!$L$5:$L$504,Ventas!$B$5:$B$504,$A90,Ventas!$C$5:$C$504,$B90))</f>
        <v/>
      </c>
      <c r="H90" s="71">
        <f>IF($B90="",0,SUMIFS(Ventas!$P$5:$P$504,Ventas!$B$5:$B$504,$A90,Ventas!$C$5:$C$504,$B90))</f>
        <v/>
      </c>
      <c r="I90" s="72">
        <f>IF($F90=0,0,$F90/Inicio!$C$22)</f>
        <v/>
      </c>
      <c r="J90" s="73">
        <f>IF($I90=0,"",ROUND($E90/$I90,0))</f>
        <v/>
      </c>
      <c r="K90" s="71">
        <f>IF($B90="",0,$E90*IFERROR(INDEX(Productos!$G$5:$G$124,MATCH($B90,Productos!$A$5:$A$124,0)),0))</f>
        <v/>
      </c>
      <c r="L90" s="71">
        <f>IF($K90=0,0,$K90*Inicio!$C$25/365*Inicio!$C$22)</f>
        <v/>
      </c>
      <c r="M90" s="73">
        <f>IF($B90="","",IF(SUMIF($B$5:$B$304,$B90,$F$5:$F$304)=0,"",ROUND(SUMIF($B$5:$B$304,$B90,$E$5:$E$304)/(SUMIF($B$5:$B$304,$B90,$F$5:$F$304)/Inicio!$C$22),0)))</f>
        <v/>
      </c>
      <c r="N90" s="74">
        <f>IF($B90="","",IF(AND($E90&lt;=0,$F90&gt;0),"QUIEBRE",IF(AND($F90=0,$E90&gt;0),"SIN ROTACIÓN",IF($J90="","",IF($J90&lt;Inicio!$C$23,"RIESGO DE QUIEBRE",IF($J90&gt;Inicio!$C$24*1.5,"EXCESO","SANO"))))))</f>
        <v/>
      </c>
      <c r="O90" s="74">
        <f>IF($M90="","",IF($J90="","",IF($J90&gt;2*$M90,"ENVIAR a otra tienda",IF($J90&lt;0.5*$M90,"PEDIR traslado","—"))))</f>
        <v/>
      </c>
    </row>
    <row r="91" ht="15" customHeight="1" s="47">
      <c r="A91" s="182" t="inlineStr">
        <is>
          <t>T02</t>
        </is>
      </c>
      <c r="B91" s="182" t="inlineStr">
        <is>
          <t>EL-038</t>
        </is>
      </c>
      <c r="C91" s="59">
        <f>IFERROR(INDEX(Productos!$B$5:$B$124,MATCH($B91,Productos!$A$5:$A$124,0)),"")</f>
        <v/>
      </c>
      <c r="D91" s="59">
        <f>IFERROR(INDEX(Productos!$D$5:$D$124,MATCH($B91,Productos!$A$5:$A$124,0)),"")</f>
        <v/>
      </c>
      <c r="E91" s="186" t="n">
        <v>3</v>
      </c>
      <c r="F91" s="70">
        <f>IF($B91="",0,SUMIFS(Ventas!$F$5:$F$504,Ventas!$B$5:$B$504,$A91,Ventas!$C$5:$C$504,$B91))</f>
        <v/>
      </c>
      <c r="G91" s="71">
        <f>IF($B91="",0,SUMIFS(Ventas!$L$5:$L$504,Ventas!$B$5:$B$504,$A91,Ventas!$C$5:$C$504,$B91))</f>
        <v/>
      </c>
      <c r="H91" s="71">
        <f>IF($B91="",0,SUMIFS(Ventas!$P$5:$P$504,Ventas!$B$5:$B$504,$A91,Ventas!$C$5:$C$504,$B91))</f>
        <v/>
      </c>
      <c r="I91" s="72">
        <f>IF($F91=0,0,$F91/Inicio!$C$22)</f>
        <v/>
      </c>
      <c r="J91" s="73">
        <f>IF($I91=0,"",ROUND($E91/$I91,0))</f>
        <v/>
      </c>
      <c r="K91" s="71">
        <f>IF($B91="",0,$E91*IFERROR(INDEX(Productos!$G$5:$G$124,MATCH($B91,Productos!$A$5:$A$124,0)),0))</f>
        <v/>
      </c>
      <c r="L91" s="71">
        <f>IF($K91=0,0,$K91*Inicio!$C$25/365*Inicio!$C$22)</f>
        <v/>
      </c>
      <c r="M91" s="73">
        <f>IF($B91="","",IF(SUMIF($B$5:$B$304,$B91,$F$5:$F$304)=0,"",ROUND(SUMIF($B$5:$B$304,$B91,$E$5:$E$304)/(SUMIF($B$5:$B$304,$B91,$F$5:$F$304)/Inicio!$C$22),0)))</f>
        <v/>
      </c>
      <c r="N91" s="74">
        <f>IF($B91="","",IF(AND($E91&lt;=0,$F91&gt;0),"QUIEBRE",IF(AND($F91=0,$E91&gt;0),"SIN ROTACIÓN",IF($J91="","",IF($J91&lt;Inicio!$C$23,"RIESGO DE QUIEBRE",IF($J91&gt;Inicio!$C$24*1.5,"EXCESO","SANO"))))))</f>
        <v/>
      </c>
      <c r="O91" s="74">
        <f>IF($M91="","",IF($J91="","",IF($J91&gt;2*$M91,"ENVIAR a otra tienda",IF($J91&lt;0.5*$M91,"PEDIR traslado","—"))))</f>
        <v/>
      </c>
    </row>
    <row r="92" ht="15" customHeight="1" s="47">
      <c r="A92" s="182" t="inlineStr">
        <is>
          <t>T02</t>
        </is>
      </c>
      <c r="B92" s="182" t="inlineStr">
        <is>
          <t>EL-039</t>
        </is>
      </c>
      <c r="C92" s="59">
        <f>IFERROR(INDEX(Productos!$B$5:$B$124,MATCH($B92,Productos!$A$5:$A$124,0)),"")</f>
        <v/>
      </c>
      <c r="D92" s="59">
        <f>IFERROR(INDEX(Productos!$D$5:$D$124,MATCH($B92,Productos!$A$5:$A$124,0)),"")</f>
        <v/>
      </c>
      <c r="E92" s="186" t="n">
        <v>4</v>
      </c>
      <c r="F92" s="70">
        <f>IF($B92="",0,SUMIFS(Ventas!$F$5:$F$504,Ventas!$B$5:$B$504,$A92,Ventas!$C$5:$C$504,$B92))</f>
        <v/>
      </c>
      <c r="G92" s="71">
        <f>IF($B92="",0,SUMIFS(Ventas!$L$5:$L$504,Ventas!$B$5:$B$504,$A92,Ventas!$C$5:$C$504,$B92))</f>
        <v/>
      </c>
      <c r="H92" s="71">
        <f>IF($B92="",0,SUMIFS(Ventas!$P$5:$P$504,Ventas!$B$5:$B$504,$A92,Ventas!$C$5:$C$504,$B92))</f>
        <v/>
      </c>
      <c r="I92" s="72">
        <f>IF($F92=0,0,$F92/Inicio!$C$22)</f>
        <v/>
      </c>
      <c r="J92" s="73">
        <f>IF($I92=0,"",ROUND($E92/$I92,0))</f>
        <v/>
      </c>
      <c r="K92" s="71">
        <f>IF($B92="",0,$E92*IFERROR(INDEX(Productos!$G$5:$G$124,MATCH($B92,Productos!$A$5:$A$124,0)),0))</f>
        <v/>
      </c>
      <c r="L92" s="71">
        <f>IF($K92=0,0,$K92*Inicio!$C$25/365*Inicio!$C$22)</f>
        <v/>
      </c>
      <c r="M92" s="73">
        <f>IF($B92="","",IF(SUMIF($B$5:$B$304,$B92,$F$5:$F$304)=0,"",ROUND(SUMIF($B$5:$B$304,$B92,$E$5:$E$304)/(SUMIF($B$5:$B$304,$B92,$F$5:$F$304)/Inicio!$C$22),0)))</f>
        <v/>
      </c>
      <c r="N92" s="74">
        <f>IF($B92="","",IF(AND($E92&lt;=0,$F92&gt;0),"QUIEBRE",IF(AND($F92=0,$E92&gt;0),"SIN ROTACIÓN",IF($J92="","",IF($J92&lt;Inicio!$C$23,"RIESGO DE QUIEBRE",IF($J92&gt;Inicio!$C$24*1.5,"EXCESO","SANO"))))))</f>
        <v/>
      </c>
      <c r="O92" s="74">
        <f>IF($M92="","",IF($J92="","",IF($J92&gt;2*$M92,"ENVIAR a otra tienda",IF($J92&lt;0.5*$M92,"PEDIR traslado","—"))))</f>
        <v/>
      </c>
    </row>
    <row r="93" ht="15" customHeight="1" s="47">
      <c r="A93" s="182" t="inlineStr">
        <is>
          <t>T02</t>
        </is>
      </c>
      <c r="B93" s="182" t="inlineStr">
        <is>
          <t>EL-041</t>
        </is>
      </c>
      <c r="C93" s="59">
        <f>IFERROR(INDEX(Productos!$B$5:$B$124,MATCH($B93,Productos!$A$5:$A$124,0)),"")</f>
        <v/>
      </c>
      <c r="D93" s="59">
        <f>IFERROR(INDEX(Productos!$D$5:$D$124,MATCH($B93,Productos!$A$5:$A$124,0)),"")</f>
        <v/>
      </c>
      <c r="E93" s="186" t="n">
        <v>7</v>
      </c>
      <c r="F93" s="70">
        <f>IF($B93="",0,SUMIFS(Ventas!$F$5:$F$504,Ventas!$B$5:$B$504,$A93,Ventas!$C$5:$C$504,$B93))</f>
        <v/>
      </c>
      <c r="G93" s="71">
        <f>IF($B93="",0,SUMIFS(Ventas!$L$5:$L$504,Ventas!$B$5:$B$504,$A93,Ventas!$C$5:$C$504,$B93))</f>
        <v/>
      </c>
      <c r="H93" s="71">
        <f>IF($B93="",0,SUMIFS(Ventas!$P$5:$P$504,Ventas!$B$5:$B$504,$A93,Ventas!$C$5:$C$504,$B93))</f>
        <v/>
      </c>
      <c r="I93" s="72">
        <f>IF($F93=0,0,$F93/Inicio!$C$22)</f>
        <v/>
      </c>
      <c r="J93" s="73">
        <f>IF($I93=0,"",ROUND($E93/$I93,0))</f>
        <v/>
      </c>
      <c r="K93" s="71">
        <f>IF($B93="",0,$E93*IFERROR(INDEX(Productos!$G$5:$G$124,MATCH($B93,Productos!$A$5:$A$124,0)),0))</f>
        <v/>
      </c>
      <c r="L93" s="71">
        <f>IF($K93=0,0,$K93*Inicio!$C$25/365*Inicio!$C$22)</f>
        <v/>
      </c>
      <c r="M93" s="73">
        <f>IF($B93="","",IF(SUMIF($B$5:$B$304,$B93,$F$5:$F$304)=0,"",ROUND(SUMIF($B$5:$B$304,$B93,$E$5:$E$304)/(SUMIF($B$5:$B$304,$B93,$F$5:$F$304)/Inicio!$C$22),0)))</f>
        <v/>
      </c>
      <c r="N93" s="74">
        <f>IF($B93="","",IF(AND($E93&lt;=0,$F93&gt;0),"QUIEBRE",IF(AND($F93=0,$E93&gt;0),"SIN ROTACIÓN",IF($J93="","",IF($J93&lt;Inicio!$C$23,"RIESGO DE QUIEBRE",IF($J93&gt;Inicio!$C$24*1.5,"EXCESO","SANO"))))))</f>
        <v/>
      </c>
      <c r="O93" s="74">
        <f>IF($M93="","",IF($J93="","",IF($J93&gt;2*$M93,"ENVIAR a otra tienda",IF($J93&lt;0.5*$M93,"PEDIR traslado","—"))))</f>
        <v/>
      </c>
    </row>
    <row r="94" ht="15" customHeight="1" s="47">
      <c r="A94" s="182" t="inlineStr">
        <is>
          <t>T02</t>
        </is>
      </c>
      <c r="B94" s="182" t="inlineStr">
        <is>
          <t>EL-042</t>
        </is>
      </c>
      <c r="C94" s="59">
        <f>IFERROR(INDEX(Productos!$B$5:$B$124,MATCH($B94,Productos!$A$5:$A$124,0)),"")</f>
        <v/>
      </c>
      <c r="D94" s="59">
        <f>IFERROR(INDEX(Productos!$D$5:$D$124,MATCH($B94,Productos!$A$5:$A$124,0)),"")</f>
        <v/>
      </c>
      <c r="E94" s="186" t="n">
        <v>0</v>
      </c>
      <c r="F94" s="70">
        <f>IF($B94="",0,SUMIFS(Ventas!$F$5:$F$504,Ventas!$B$5:$B$504,$A94,Ventas!$C$5:$C$504,$B94))</f>
        <v/>
      </c>
      <c r="G94" s="71">
        <f>IF($B94="",0,SUMIFS(Ventas!$L$5:$L$504,Ventas!$B$5:$B$504,$A94,Ventas!$C$5:$C$504,$B94))</f>
        <v/>
      </c>
      <c r="H94" s="71">
        <f>IF($B94="",0,SUMIFS(Ventas!$P$5:$P$504,Ventas!$B$5:$B$504,$A94,Ventas!$C$5:$C$504,$B94))</f>
        <v/>
      </c>
      <c r="I94" s="72">
        <f>IF($F94=0,0,$F94/Inicio!$C$22)</f>
        <v/>
      </c>
      <c r="J94" s="73">
        <f>IF($I94=0,"",ROUND($E94/$I94,0))</f>
        <v/>
      </c>
      <c r="K94" s="71">
        <f>IF($B94="",0,$E94*IFERROR(INDEX(Productos!$G$5:$G$124,MATCH($B94,Productos!$A$5:$A$124,0)),0))</f>
        <v/>
      </c>
      <c r="L94" s="71">
        <f>IF($K94=0,0,$K94*Inicio!$C$25/365*Inicio!$C$22)</f>
        <v/>
      </c>
      <c r="M94" s="73">
        <f>IF($B94="","",IF(SUMIF($B$5:$B$304,$B94,$F$5:$F$304)=0,"",ROUND(SUMIF($B$5:$B$304,$B94,$E$5:$E$304)/(SUMIF($B$5:$B$304,$B94,$F$5:$F$304)/Inicio!$C$22),0)))</f>
        <v/>
      </c>
      <c r="N94" s="74">
        <f>IF($B94="","",IF(AND($E94&lt;=0,$F94&gt;0),"QUIEBRE",IF(AND($F94=0,$E94&gt;0),"SIN ROTACIÓN",IF($J94="","",IF($J94&lt;Inicio!$C$23,"RIESGO DE QUIEBRE",IF($J94&gt;Inicio!$C$24*1.5,"EXCESO","SANO"))))))</f>
        <v/>
      </c>
      <c r="O94" s="74">
        <f>IF($M94="","",IF($J94="","",IF($J94&gt;2*$M94,"ENVIAR a otra tienda",IF($J94&lt;0.5*$M94,"PEDIR traslado","—"))))</f>
        <v/>
      </c>
    </row>
    <row r="95" ht="15" customHeight="1" s="47">
      <c r="A95" s="182" t="inlineStr">
        <is>
          <t>T02</t>
        </is>
      </c>
      <c r="B95" s="182" t="inlineStr">
        <is>
          <t>EL-043</t>
        </is>
      </c>
      <c r="C95" s="59">
        <f>IFERROR(INDEX(Productos!$B$5:$B$124,MATCH($B95,Productos!$A$5:$A$124,0)),"")</f>
        <v/>
      </c>
      <c r="D95" s="59">
        <f>IFERROR(INDEX(Productos!$D$5:$D$124,MATCH($B95,Productos!$A$5:$A$124,0)),"")</f>
        <v/>
      </c>
      <c r="E95" s="186" t="n">
        <v>1</v>
      </c>
      <c r="F95" s="70">
        <f>IF($B95="",0,SUMIFS(Ventas!$F$5:$F$504,Ventas!$B$5:$B$504,$A95,Ventas!$C$5:$C$504,$B95))</f>
        <v/>
      </c>
      <c r="G95" s="71">
        <f>IF($B95="",0,SUMIFS(Ventas!$L$5:$L$504,Ventas!$B$5:$B$504,$A95,Ventas!$C$5:$C$504,$B95))</f>
        <v/>
      </c>
      <c r="H95" s="71">
        <f>IF($B95="",0,SUMIFS(Ventas!$P$5:$P$504,Ventas!$B$5:$B$504,$A95,Ventas!$C$5:$C$504,$B95))</f>
        <v/>
      </c>
      <c r="I95" s="72">
        <f>IF($F95=0,0,$F95/Inicio!$C$22)</f>
        <v/>
      </c>
      <c r="J95" s="73">
        <f>IF($I95=0,"",ROUND($E95/$I95,0))</f>
        <v/>
      </c>
      <c r="K95" s="71">
        <f>IF($B95="",0,$E95*IFERROR(INDEX(Productos!$G$5:$G$124,MATCH($B95,Productos!$A$5:$A$124,0)),0))</f>
        <v/>
      </c>
      <c r="L95" s="71">
        <f>IF($K95=0,0,$K95*Inicio!$C$25/365*Inicio!$C$22)</f>
        <v/>
      </c>
      <c r="M95" s="73">
        <f>IF($B95="","",IF(SUMIF($B$5:$B$304,$B95,$F$5:$F$304)=0,"",ROUND(SUMIF($B$5:$B$304,$B95,$E$5:$E$304)/(SUMIF($B$5:$B$304,$B95,$F$5:$F$304)/Inicio!$C$22),0)))</f>
        <v/>
      </c>
      <c r="N95" s="74">
        <f>IF($B95="","",IF(AND($E95&lt;=0,$F95&gt;0),"QUIEBRE",IF(AND($F95=0,$E95&gt;0),"SIN ROTACIÓN",IF($J95="","",IF($J95&lt;Inicio!$C$23,"RIESGO DE QUIEBRE",IF($J95&gt;Inicio!$C$24*1.5,"EXCESO","SANO"))))))</f>
        <v/>
      </c>
      <c r="O95" s="74">
        <f>IF($M95="","",IF($J95="","",IF($J95&gt;2*$M95,"ENVIAR a otra tienda",IF($J95&lt;0.5*$M95,"PEDIR traslado","—"))))</f>
        <v/>
      </c>
    </row>
    <row r="96" ht="15" customHeight="1" s="47">
      <c r="A96" s="182" t="inlineStr">
        <is>
          <t>T02</t>
        </is>
      </c>
      <c r="B96" s="182" t="inlineStr">
        <is>
          <t>EL-044</t>
        </is>
      </c>
      <c r="C96" s="59">
        <f>IFERROR(INDEX(Productos!$B$5:$B$124,MATCH($B96,Productos!$A$5:$A$124,0)),"")</f>
        <v/>
      </c>
      <c r="D96" s="59">
        <f>IFERROR(INDEX(Productos!$D$5:$D$124,MATCH($B96,Productos!$A$5:$A$124,0)),"")</f>
        <v/>
      </c>
      <c r="E96" s="186" t="n">
        <v>4</v>
      </c>
      <c r="F96" s="70">
        <f>IF($B96="",0,SUMIFS(Ventas!$F$5:$F$504,Ventas!$B$5:$B$504,$A96,Ventas!$C$5:$C$504,$B96))</f>
        <v/>
      </c>
      <c r="G96" s="71">
        <f>IF($B96="",0,SUMIFS(Ventas!$L$5:$L$504,Ventas!$B$5:$B$504,$A96,Ventas!$C$5:$C$504,$B96))</f>
        <v/>
      </c>
      <c r="H96" s="71">
        <f>IF($B96="",0,SUMIFS(Ventas!$P$5:$P$504,Ventas!$B$5:$B$504,$A96,Ventas!$C$5:$C$504,$B96))</f>
        <v/>
      </c>
      <c r="I96" s="72">
        <f>IF($F96=0,0,$F96/Inicio!$C$22)</f>
        <v/>
      </c>
      <c r="J96" s="73">
        <f>IF($I96=0,"",ROUND($E96/$I96,0))</f>
        <v/>
      </c>
      <c r="K96" s="71">
        <f>IF($B96="",0,$E96*IFERROR(INDEX(Productos!$G$5:$G$124,MATCH($B96,Productos!$A$5:$A$124,0)),0))</f>
        <v/>
      </c>
      <c r="L96" s="71">
        <f>IF($K96=0,0,$K96*Inicio!$C$25/365*Inicio!$C$22)</f>
        <v/>
      </c>
      <c r="M96" s="73">
        <f>IF($B96="","",IF(SUMIF($B$5:$B$304,$B96,$F$5:$F$304)=0,"",ROUND(SUMIF($B$5:$B$304,$B96,$E$5:$E$304)/(SUMIF($B$5:$B$304,$B96,$F$5:$F$304)/Inicio!$C$22),0)))</f>
        <v/>
      </c>
      <c r="N96" s="74">
        <f>IF($B96="","",IF(AND($E96&lt;=0,$F96&gt;0),"QUIEBRE",IF(AND($F96=0,$E96&gt;0),"SIN ROTACIÓN",IF($J96="","",IF($J96&lt;Inicio!$C$23,"RIESGO DE QUIEBRE",IF($J96&gt;Inicio!$C$24*1.5,"EXCESO","SANO"))))))</f>
        <v/>
      </c>
      <c r="O96" s="74">
        <f>IF($M96="","",IF($J96="","",IF($J96&gt;2*$M96,"ENVIAR a otra tienda",IF($J96&lt;0.5*$M96,"PEDIR traslado","—"))))</f>
        <v/>
      </c>
    </row>
    <row r="97" ht="15" customHeight="1" s="47">
      <c r="A97" s="182" t="inlineStr">
        <is>
          <t>T02</t>
        </is>
      </c>
      <c r="B97" s="182" t="inlineStr">
        <is>
          <t>EL-045</t>
        </is>
      </c>
      <c r="C97" s="59">
        <f>IFERROR(INDEX(Productos!$B$5:$B$124,MATCH($B97,Productos!$A$5:$A$124,0)),"")</f>
        <v/>
      </c>
      <c r="D97" s="59">
        <f>IFERROR(INDEX(Productos!$D$5:$D$124,MATCH($B97,Productos!$A$5:$A$124,0)),"")</f>
        <v/>
      </c>
      <c r="E97" s="186" t="n">
        <v>0</v>
      </c>
      <c r="F97" s="70">
        <f>IF($B97="",0,SUMIFS(Ventas!$F$5:$F$504,Ventas!$B$5:$B$504,$A97,Ventas!$C$5:$C$504,$B97))</f>
        <v/>
      </c>
      <c r="G97" s="71">
        <f>IF($B97="",0,SUMIFS(Ventas!$L$5:$L$504,Ventas!$B$5:$B$504,$A97,Ventas!$C$5:$C$504,$B97))</f>
        <v/>
      </c>
      <c r="H97" s="71">
        <f>IF($B97="",0,SUMIFS(Ventas!$P$5:$P$504,Ventas!$B$5:$B$504,$A97,Ventas!$C$5:$C$504,$B97))</f>
        <v/>
      </c>
      <c r="I97" s="72">
        <f>IF($F97=0,0,$F97/Inicio!$C$22)</f>
        <v/>
      </c>
      <c r="J97" s="73">
        <f>IF($I97=0,"",ROUND($E97/$I97,0))</f>
        <v/>
      </c>
      <c r="K97" s="71">
        <f>IF($B97="",0,$E97*IFERROR(INDEX(Productos!$G$5:$G$124,MATCH($B97,Productos!$A$5:$A$124,0)),0))</f>
        <v/>
      </c>
      <c r="L97" s="71">
        <f>IF($K97=0,0,$K97*Inicio!$C$25/365*Inicio!$C$22)</f>
        <v/>
      </c>
      <c r="M97" s="73">
        <f>IF($B97="","",IF(SUMIF($B$5:$B$304,$B97,$F$5:$F$304)=0,"",ROUND(SUMIF($B$5:$B$304,$B97,$E$5:$E$304)/(SUMIF($B$5:$B$304,$B97,$F$5:$F$304)/Inicio!$C$22),0)))</f>
        <v/>
      </c>
      <c r="N97" s="74">
        <f>IF($B97="","",IF(AND($E97&lt;=0,$F97&gt;0),"QUIEBRE",IF(AND($F97=0,$E97&gt;0),"SIN ROTACIÓN",IF($J97="","",IF($J97&lt;Inicio!$C$23,"RIESGO DE QUIEBRE",IF($J97&gt;Inicio!$C$24*1.5,"EXCESO","SANO"))))))</f>
        <v/>
      </c>
      <c r="O97" s="74">
        <f>IF($M97="","",IF($J97="","",IF($J97&gt;2*$M97,"ENVIAR a otra tienda",IF($J97&lt;0.5*$M97,"PEDIR traslado","—"))))</f>
        <v/>
      </c>
    </row>
    <row r="98" ht="15" customHeight="1" s="47">
      <c r="A98" s="182" t="inlineStr">
        <is>
          <t>T02</t>
        </is>
      </c>
      <c r="B98" s="182" t="inlineStr">
        <is>
          <t>EL-046</t>
        </is>
      </c>
      <c r="C98" s="59">
        <f>IFERROR(INDEX(Productos!$B$5:$B$124,MATCH($B98,Productos!$A$5:$A$124,0)),"")</f>
        <v/>
      </c>
      <c r="D98" s="59">
        <f>IFERROR(INDEX(Productos!$D$5:$D$124,MATCH($B98,Productos!$A$5:$A$124,0)),"")</f>
        <v/>
      </c>
      <c r="E98" s="186" t="n">
        <v>14</v>
      </c>
      <c r="F98" s="70">
        <f>IF($B98="",0,SUMIFS(Ventas!$F$5:$F$504,Ventas!$B$5:$B$504,$A98,Ventas!$C$5:$C$504,$B98))</f>
        <v/>
      </c>
      <c r="G98" s="71">
        <f>IF($B98="",0,SUMIFS(Ventas!$L$5:$L$504,Ventas!$B$5:$B$504,$A98,Ventas!$C$5:$C$504,$B98))</f>
        <v/>
      </c>
      <c r="H98" s="71">
        <f>IF($B98="",0,SUMIFS(Ventas!$P$5:$P$504,Ventas!$B$5:$B$504,$A98,Ventas!$C$5:$C$504,$B98))</f>
        <v/>
      </c>
      <c r="I98" s="72">
        <f>IF($F98=0,0,$F98/Inicio!$C$22)</f>
        <v/>
      </c>
      <c r="J98" s="73">
        <f>IF($I98=0,"",ROUND($E98/$I98,0))</f>
        <v/>
      </c>
      <c r="K98" s="71">
        <f>IF($B98="",0,$E98*IFERROR(INDEX(Productos!$G$5:$G$124,MATCH($B98,Productos!$A$5:$A$124,0)),0))</f>
        <v/>
      </c>
      <c r="L98" s="71">
        <f>IF($K98=0,0,$K98*Inicio!$C$25/365*Inicio!$C$22)</f>
        <v/>
      </c>
      <c r="M98" s="73">
        <f>IF($B98="","",IF(SUMIF($B$5:$B$304,$B98,$F$5:$F$304)=0,"",ROUND(SUMIF($B$5:$B$304,$B98,$E$5:$E$304)/(SUMIF($B$5:$B$304,$B98,$F$5:$F$304)/Inicio!$C$22),0)))</f>
        <v/>
      </c>
      <c r="N98" s="74">
        <f>IF($B98="","",IF(AND($E98&lt;=0,$F98&gt;0),"QUIEBRE",IF(AND($F98=0,$E98&gt;0),"SIN ROTACIÓN",IF($J98="","",IF($J98&lt;Inicio!$C$23,"RIESGO DE QUIEBRE",IF($J98&gt;Inicio!$C$24*1.5,"EXCESO","SANO"))))))</f>
        <v/>
      </c>
      <c r="O98" s="74">
        <f>IF($M98="","",IF($J98="","",IF($J98&gt;2*$M98,"ENVIAR a otra tienda",IF($J98&lt;0.5*$M98,"PEDIR traslado","—"))))</f>
        <v/>
      </c>
    </row>
    <row r="99" ht="15" customHeight="1" s="47">
      <c r="A99" s="182" t="inlineStr">
        <is>
          <t>T02</t>
        </is>
      </c>
      <c r="B99" s="182" t="inlineStr">
        <is>
          <t>EL-047</t>
        </is>
      </c>
      <c r="C99" s="59">
        <f>IFERROR(INDEX(Productos!$B$5:$B$124,MATCH($B99,Productos!$A$5:$A$124,0)),"")</f>
        <v/>
      </c>
      <c r="D99" s="59">
        <f>IFERROR(INDEX(Productos!$D$5:$D$124,MATCH($B99,Productos!$A$5:$A$124,0)),"")</f>
        <v/>
      </c>
      <c r="E99" s="186" t="n">
        <v>3</v>
      </c>
      <c r="F99" s="70">
        <f>IF($B99="",0,SUMIFS(Ventas!$F$5:$F$504,Ventas!$B$5:$B$504,$A99,Ventas!$C$5:$C$504,$B99))</f>
        <v/>
      </c>
      <c r="G99" s="71">
        <f>IF($B99="",0,SUMIFS(Ventas!$L$5:$L$504,Ventas!$B$5:$B$504,$A99,Ventas!$C$5:$C$504,$B99))</f>
        <v/>
      </c>
      <c r="H99" s="71">
        <f>IF($B99="",0,SUMIFS(Ventas!$P$5:$P$504,Ventas!$B$5:$B$504,$A99,Ventas!$C$5:$C$504,$B99))</f>
        <v/>
      </c>
      <c r="I99" s="72">
        <f>IF($F99=0,0,$F99/Inicio!$C$22)</f>
        <v/>
      </c>
      <c r="J99" s="73">
        <f>IF($I99=0,"",ROUND($E99/$I99,0))</f>
        <v/>
      </c>
      <c r="K99" s="71">
        <f>IF($B99="",0,$E99*IFERROR(INDEX(Productos!$G$5:$G$124,MATCH($B99,Productos!$A$5:$A$124,0)),0))</f>
        <v/>
      </c>
      <c r="L99" s="71">
        <f>IF($K99=0,0,$K99*Inicio!$C$25/365*Inicio!$C$22)</f>
        <v/>
      </c>
      <c r="M99" s="73">
        <f>IF($B99="","",IF(SUMIF($B$5:$B$304,$B99,$F$5:$F$304)=0,"",ROUND(SUMIF($B$5:$B$304,$B99,$E$5:$E$304)/(SUMIF($B$5:$B$304,$B99,$F$5:$F$304)/Inicio!$C$22),0)))</f>
        <v/>
      </c>
      <c r="N99" s="74">
        <f>IF($B99="","",IF(AND($E99&lt;=0,$F99&gt;0),"QUIEBRE",IF(AND($F99=0,$E99&gt;0),"SIN ROTACIÓN",IF($J99="","",IF($J99&lt;Inicio!$C$23,"RIESGO DE QUIEBRE",IF($J99&gt;Inicio!$C$24*1.5,"EXCESO","SANO"))))))</f>
        <v/>
      </c>
      <c r="O99" s="74">
        <f>IF($M99="","",IF($J99="","",IF($J99&gt;2*$M99,"ENVIAR a otra tienda",IF($J99&lt;0.5*$M99,"PEDIR traslado","—"))))</f>
        <v/>
      </c>
    </row>
    <row r="100" ht="15" customHeight="1" s="47">
      <c r="A100" s="182" t="inlineStr">
        <is>
          <t>T02</t>
        </is>
      </c>
      <c r="B100" s="182" t="inlineStr">
        <is>
          <t>EL-048</t>
        </is>
      </c>
      <c r="C100" s="59">
        <f>IFERROR(INDEX(Productos!$B$5:$B$124,MATCH($B100,Productos!$A$5:$A$124,0)),"")</f>
        <v/>
      </c>
      <c r="D100" s="59">
        <f>IFERROR(INDEX(Productos!$D$5:$D$124,MATCH($B100,Productos!$A$5:$A$124,0)),"")</f>
        <v/>
      </c>
      <c r="E100" s="186" t="n">
        <v>2</v>
      </c>
      <c r="F100" s="70">
        <f>IF($B100="",0,SUMIFS(Ventas!$F$5:$F$504,Ventas!$B$5:$B$504,$A100,Ventas!$C$5:$C$504,$B100))</f>
        <v/>
      </c>
      <c r="G100" s="71">
        <f>IF($B100="",0,SUMIFS(Ventas!$L$5:$L$504,Ventas!$B$5:$B$504,$A100,Ventas!$C$5:$C$504,$B100))</f>
        <v/>
      </c>
      <c r="H100" s="71">
        <f>IF($B100="",0,SUMIFS(Ventas!$P$5:$P$504,Ventas!$B$5:$B$504,$A100,Ventas!$C$5:$C$504,$B100))</f>
        <v/>
      </c>
      <c r="I100" s="72">
        <f>IF($F100=0,0,$F100/Inicio!$C$22)</f>
        <v/>
      </c>
      <c r="J100" s="73">
        <f>IF($I100=0,"",ROUND($E100/$I100,0))</f>
        <v/>
      </c>
      <c r="K100" s="71">
        <f>IF($B100="",0,$E100*IFERROR(INDEX(Productos!$G$5:$G$124,MATCH($B100,Productos!$A$5:$A$124,0)),0))</f>
        <v/>
      </c>
      <c r="L100" s="71">
        <f>IF($K100=0,0,$K100*Inicio!$C$25/365*Inicio!$C$22)</f>
        <v/>
      </c>
      <c r="M100" s="73">
        <f>IF($B100="","",IF(SUMIF($B$5:$B$304,$B100,$F$5:$F$304)=0,"",ROUND(SUMIF($B$5:$B$304,$B100,$E$5:$E$304)/(SUMIF($B$5:$B$304,$B100,$F$5:$F$304)/Inicio!$C$22),0)))</f>
        <v/>
      </c>
      <c r="N100" s="74">
        <f>IF($B100="","",IF(AND($E100&lt;=0,$F100&gt;0),"QUIEBRE",IF(AND($F100=0,$E100&gt;0),"SIN ROTACIÓN",IF($J100="","",IF($J100&lt;Inicio!$C$23,"RIESGO DE QUIEBRE",IF($J100&gt;Inicio!$C$24*1.5,"EXCESO","SANO"))))))</f>
        <v/>
      </c>
      <c r="O100" s="74">
        <f>IF($M100="","",IF($J100="","",IF($J100&gt;2*$M100,"ENVIAR a otra tienda",IF($J100&lt;0.5*$M100,"PEDIR traslado","—"))))</f>
        <v/>
      </c>
    </row>
    <row r="101" ht="15" customHeight="1" s="47">
      <c r="A101" s="182" t="inlineStr">
        <is>
          <t>T02</t>
        </is>
      </c>
      <c r="B101" s="182" t="inlineStr">
        <is>
          <t>EL-049</t>
        </is>
      </c>
      <c r="C101" s="59">
        <f>IFERROR(INDEX(Productos!$B$5:$B$124,MATCH($B101,Productos!$A$5:$A$124,0)),"")</f>
        <v/>
      </c>
      <c r="D101" s="59">
        <f>IFERROR(INDEX(Productos!$D$5:$D$124,MATCH($B101,Productos!$A$5:$A$124,0)),"")</f>
        <v/>
      </c>
      <c r="E101" s="186" t="n">
        <v>5</v>
      </c>
      <c r="F101" s="70">
        <f>IF($B101="",0,SUMIFS(Ventas!$F$5:$F$504,Ventas!$B$5:$B$504,$A101,Ventas!$C$5:$C$504,$B101))</f>
        <v/>
      </c>
      <c r="G101" s="71">
        <f>IF($B101="",0,SUMIFS(Ventas!$L$5:$L$504,Ventas!$B$5:$B$504,$A101,Ventas!$C$5:$C$504,$B101))</f>
        <v/>
      </c>
      <c r="H101" s="71">
        <f>IF($B101="",0,SUMIFS(Ventas!$P$5:$P$504,Ventas!$B$5:$B$504,$A101,Ventas!$C$5:$C$504,$B101))</f>
        <v/>
      </c>
      <c r="I101" s="72">
        <f>IF($F101=0,0,$F101/Inicio!$C$22)</f>
        <v/>
      </c>
      <c r="J101" s="73">
        <f>IF($I101=0,"",ROUND($E101/$I101,0))</f>
        <v/>
      </c>
      <c r="K101" s="71">
        <f>IF($B101="",0,$E101*IFERROR(INDEX(Productos!$G$5:$G$124,MATCH($B101,Productos!$A$5:$A$124,0)),0))</f>
        <v/>
      </c>
      <c r="L101" s="71">
        <f>IF($K101=0,0,$K101*Inicio!$C$25/365*Inicio!$C$22)</f>
        <v/>
      </c>
      <c r="M101" s="73">
        <f>IF($B101="","",IF(SUMIF($B$5:$B$304,$B101,$F$5:$F$304)=0,"",ROUND(SUMIF($B$5:$B$304,$B101,$E$5:$E$304)/(SUMIF($B$5:$B$304,$B101,$F$5:$F$304)/Inicio!$C$22),0)))</f>
        <v/>
      </c>
      <c r="N101" s="74">
        <f>IF($B101="","",IF(AND($E101&lt;=0,$F101&gt;0),"QUIEBRE",IF(AND($F101=0,$E101&gt;0),"SIN ROTACIÓN",IF($J101="","",IF($J101&lt;Inicio!$C$23,"RIESGO DE QUIEBRE",IF($J101&gt;Inicio!$C$24*1.5,"EXCESO","SANO"))))))</f>
        <v/>
      </c>
      <c r="O101" s="74">
        <f>IF($M101="","",IF($J101="","",IF($J101&gt;2*$M101,"ENVIAR a otra tienda",IF($J101&lt;0.5*$M101,"PEDIR traslado","—"))))</f>
        <v/>
      </c>
    </row>
    <row r="102" ht="15" customHeight="1" s="47">
      <c r="A102" s="182" t="inlineStr">
        <is>
          <t>T02</t>
        </is>
      </c>
      <c r="B102" s="182" t="inlineStr">
        <is>
          <t>EL-050</t>
        </is>
      </c>
      <c r="C102" s="59">
        <f>IFERROR(INDEX(Productos!$B$5:$B$124,MATCH($B102,Productos!$A$5:$A$124,0)),"")</f>
        <v/>
      </c>
      <c r="D102" s="59">
        <f>IFERROR(INDEX(Productos!$D$5:$D$124,MATCH($B102,Productos!$A$5:$A$124,0)),"")</f>
        <v/>
      </c>
      <c r="E102" s="186" t="n">
        <v>3</v>
      </c>
      <c r="F102" s="70">
        <f>IF($B102="",0,SUMIFS(Ventas!$F$5:$F$504,Ventas!$B$5:$B$504,$A102,Ventas!$C$5:$C$504,$B102))</f>
        <v/>
      </c>
      <c r="G102" s="71">
        <f>IF($B102="",0,SUMIFS(Ventas!$L$5:$L$504,Ventas!$B$5:$B$504,$A102,Ventas!$C$5:$C$504,$B102))</f>
        <v/>
      </c>
      <c r="H102" s="71">
        <f>IF($B102="",0,SUMIFS(Ventas!$P$5:$P$504,Ventas!$B$5:$B$504,$A102,Ventas!$C$5:$C$504,$B102))</f>
        <v/>
      </c>
      <c r="I102" s="72">
        <f>IF($F102=0,0,$F102/Inicio!$C$22)</f>
        <v/>
      </c>
      <c r="J102" s="73">
        <f>IF($I102=0,"",ROUND($E102/$I102,0))</f>
        <v/>
      </c>
      <c r="K102" s="71">
        <f>IF($B102="",0,$E102*IFERROR(INDEX(Productos!$G$5:$G$124,MATCH($B102,Productos!$A$5:$A$124,0)),0))</f>
        <v/>
      </c>
      <c r="L102" s="71">
        <f>IF($K102=0,0,$K102*Inicio!$C$25/365*Inicio!$C$22)</f>
        <v/>
      </c>
      <c r="M102" s="73">
        <f>IF($B102="","",IF(SUMIF($B$5:$B$304,$B102,$F$5:$F$304)=0,"",ROUND(SUMIF($B$5:$B$304,$B102,$E$5:$E$304)/(SUMIF($B$5:$B$304,$B102,$F$5:$F$304)/Inicio!$C$22),0)))</f>
        <v/>
      </c>
      <c r="N102" s="74">
        <f>IF($B102="","",IF(AND($E102&lt;=0,$F102&gt;0),"QUIEBRE",IF(AND($F102=0,$E102&gt;0),"SIN ROTACIÓN",IF($J102="","",IF($J102&lt;Inicio!$C$23,"RIESGO DE QUIEBRE",IF($J102&gt;Inicio!$C$24*1.5,"EXCESO","SANO"))))))</f>
        <v/>
      </c>
      <c r="O102" s="74">
        <f>IF($M102="","",IF($J102="","",IF($J102&gt;2*$M102,"ENVIAR a otra tienda",IF($J102&lt;0.5*$M102,"PEDIR traslado","—"))))</f>
        <v/>
      </c>
    </row>
    <row r="103" ht="15" customHeight="1" s="47">
      <c r="A103" s="182" t="inlineStr">
        <is>
          <t>T03</t>
        </is>
      </c>
      <c r="B103" s="182" t="inlineStr">
        <is>
          <t>EL-001</t>
        </is>
      </c>
      <c r="C103" s="59">
        <f>IFERROR(INDEX(Productos!$B$5:$B$124,MATCH($B103,Productos!$A$5:$A$124,0)),"")</f>
        <v/>
      </c>
      <c r="D103" s="59">
        <f>IFERROR(INDEX(Productos!$D$5:$D$124,MATCH($B103,Productos!$A$5:$A$124,0)),"")</f>
        <v/>
      </c>
      <c r="E103" s="186" t="n">
        <v>18</v>
      </c>
      <c r="F103" s="70">
        <f>IF($B103="",0,SUMIFS(Ventas!$F$5:$F$504,Ventas!$B$5:$B$504,$A103,Ventas!$C$5:$C$504,$B103))</f>
        <v/>
      </c>
      <c r="G103" s="71">
        <f>IF($B103="",0,SUMIFS(Ventas!$L$5:$L$504,Ventas!$B$5:$B$504,$A103,Ventas!$C$5:$C$504,$B103))</f>
        <v/>
      </c>
      <c r="H103" s="71">
        <f>IF($B103="",0,SUMIFS(Ventas!$P$5:$P$504,Ventas!$B$5:$B$504,$A103,Ventas!$C$5:$C$504,$B103))</f>
        <v/>
      </c>
      <c r="I103" s="72">
        <f>IF($F103=0,0,$F103/Inicio!$C$22)</f>
        <v/>
      </c>
      <c r="J103" s="73">
        <f>IF($I103=0,"",ROUND($E103/$I103,0))</f>
        <v/>
      </c>
      <c r="K103" s="71">
        <f>IF($B103="",0,$E103*IFERROR(INDEX(Productos!$G$5:$G$124,MATCH($B103,Productos!$A$5:$A$124,0)),0))</f>
        <v/>
      </c>
      <c r="L103" s="71">
        <f>IF($K103=0,0,$K103*Inicio!$C$25/365*Inicio!$C$22)</f>
        <v/>
      </c>
      <c r="M103" s="73">
        <f>IF($B103="","",IF(SUMIF($B$5:$B$304,$B103,$F$5:$F$304)=0,"",ROUND(SUMIF($B$5:$B$304,$B103,$E$5:$E$304)/(SUMIF($B$5:$B$304,$B103,$F$5:$F$304)/Inicio!$C$22),0)))</f>
        <v/>
      </c>
      <c r="N103" s="74">
        <f>IF($B103="","",IF(AND($E103&lt;=0,$F103&gt;0),"QUIEBRE",IF(AND($F103=0,$E103&gt;0),"SIN ROTACIÓN",IF($J103="","",IF($J103&lt;Inicio!$C$23,"RIESGO DE QUIEBRE",IF($J103&gt;Inicio!$C$24*1.5,"EXCESO","SANO"))))))</f>
        <v/>
      </c>
      <c r="O103" s="74">
        <f>IF($M103="","",IF($J103="","",IF($J103&gt;2*$M103,"ENVIAR a otra tienda",IF($J103&lt;0.5*$M103,"PEDIR traslado","—"))))</f>
        <v/>
      </c>
    </row>
    <row r="104" ht="15" customHeight="1" s="47">
      <c r="A104" s="182" t="inlineStr">
        <is>
          <t>T03</t>
        </is>
      </c>
      <c r="B104" s="182" t="inlineStr">
        <is>
          <t>EL-002</t>
        </is>
      </c>
      <c r="C104" s="59">
        <f>IFERROR(INDEX(Productos!$B$5:$B$124,MATCH($B104,Productos!$A$5:$A$124,0)),"")</f>
        <v/>
      </c>
      <c r="D104" s="59">
        <f>IFERROR(INDEX(Productos!$D$5:$D$124,MATCH($B104,Productos!$A$5:$A$124,0)),"")</f>
        <v/>
      </c>
      <c r="E104" s="186" t="n">
        <v>0</v>
      </c>
      <c r="F104" s="70">
        <f>IF($B104="",0,SUMIFS(Ventas!$F$5:$F$504,Ventas!$B$5:$B$504,$A104,Ventas!$C$5:$C$504,$B104))</f>
        <v/>
      </c>
      <c r="G104" s="71">
        <f>IF($B104="",0,SUMIFS(Ventas!$L$5:$L$504,Ventas!$B$5:$B$504,$A104,Ventas!$C$5:$C$504,$B104))</f>
        <v/>
      </c>
      <c r="H104" s="71">
        <f>IF($B104="",0,SUMIFS(Ventas!$P$5:$P$504,Ventas!$B$5:$B$504,$A104,Ventas!$C$5:$C$504,$B104))</f>
        <v/>
      </c>
      <c r="I104" s="72">
        <f>IF($F104=0,0,$F104/Inicio!$C$22)</f>
        <v/>
      </c>
      <c r="J104" s="73">
        <f>IF($I104=0,"",ROUND($E104/$I104,0))</f>
        <v/>
      </c>
      <c r="K104" s="71">
        <f>IF($B104="",0,$E104*IFERROR(INDEX(Productos!$G$5:$G$124,MATCH($B104,Productos!$A$5:$A$124,0)),0))</f>
        <v/>
      </c>
      <c r="L104" s="71">
        <f>IF($K104=0,0,$K104*Inicio!$C$25/365*Inicio!$C$22)</f>
        <v/>
      </c>
      <c r="M104" s="73">
        <f>IF($B104="","",IF(SUMIF($B$5:$B$304,$B104,$F$5:$F$304)=0,"",ROUND(SUMIF($B$5:$B$304,$B104,$E$5:$E$304)/(SUMIF($B$5:$B$304,$B104,$F$5:$F$304)/Inicio!$C$22),0)))</f>
        <v/>
      </c>
      <c r="N104" s="74">
        <f>IF($B104="","",IF(AND($E104&lt;=0,$F104&gt;0),"QUIEBRE",IF(AND($F104=0,$E104&gt;0),"SIN ROTACIÓN",IF($J104="","",IF($J104&lt;Inicio!$C$23,"RIESGO DE QUIEBRE",IF($J104&gt;Inicio!$C$24*1.5,"EXCESO","SANO"))))))</f>
        <v/>
      </c>
      <c r="O104" s="74">
        <f>IF($M104="","",IF($J104="","",IF($J104&gt;2*$M104,"ENVIAR a otra tienda",IF($J104&lt;0.5*$M104,"PEDIR traslado","—"))))</f>
        <v/>
      </c>
    </row>
    <row r="105" ht="15" customHeight="1" s="47">
      <c r="A105" s="182" t="inlineStr">
        <is>
          <t>T03</t>
        </is>
      </c>
      <c r="B105" s="182" t="inlineStr">
        <is>
          <t>EL-003</t>
        </is>
      </c>
      <c r="C105" s="59">
        <f>IFERROR(INDEX(Productos!$B$5:$B$124,MATCH($B105,Productos!$A$5:$A$124,0)),"")</f>
        <v/>
      </c>
      <c r="D105" s="59">
        <f>IFERROR(INDEX(Productos!$D$5:$D$124,MATCH($B105,Productos!$A$5:$A$124,0)),"")</f>
        <v/>
      </c>
      <c r="E105" s="186" t="n">
        <v>2</v>
      </c>
      <c r="F105" s="70">
        <f>IF($B105="",0,SUMIFS(Ventas!$F$5:$F$504,Ventas!$B$5:$B$504,$A105,Ventas!$C$5:$C$504,$B105))</f>
        <v/>
      </c>
      <c r="G105" s="71">
        <f>IF($B105="",0,SUMIFS(Ventas!$L$5:$L$504,Ventas!$B$5:$B$504,$A105,Ventas!$C$5:$C$504,$B105))</f>
        <v/>
      </c>
      <c r="H105" s="71">
        <f>IF($B105="",0,SUMIFS(Ventas!$P$5:$P$504,Ventas!$B$5:$B$504,$A105,Ventas!$C$5:$C$504,$B105))</f>
        <v/>
      </c>
      <c r="I105" s="72">
        <f>IF($F105=0,0,$F105/Inicio!$C$22)</f>
        <v/>
      </c>
      <c r="J105" s="73">
        <f>IF($I105=0,"",ROUND($E105/$I105,0))</f>
        <v/>
      </c>
      <c r="K105" s="71">
        <f>IF($B105="",0,$E105*IFERROR(INDEX(Productos!$G$5:$G$124,MATCH($B105,Productos!$A$5:$A$124,0)),0))</f>
        <v/>
      </c>
      <c r="L105" s="71">
        <f>IF($K105=0,0,$K105*Inicio!$C$25/365*Inicio!$C$22)</f>
        <v/>
      </c>
      <c r="M105" s="73">
        <f>IF($B105="","",IF(SUMIF($B$5:$B$304,$B105,$F$5:$F$304)=0,"",ROUND(SUMIF($B$5:$B$304,$B105,$E$5:$E$304)/(SUMIF($B$5:$B$304,$B105,$F$5:$F$304)/Inicio!$C$22),0)))</f>
        <v/>
      </c>
      <c r="N105" s="74">
        <f>IF($B105="","",IF(AND($E105&lt;=0,$F105&gt;0),"QUIEBRE",IF(AND($F105=0,$E105&gt;0),"SIN ROTACIÓN",IF($J105="","",IF($J105&lt;Inicio!$C$23,"RIESGO DE QUIEBRE",IF($J105&gt;Inicio!$C$24*1.5,"EXCESO","SANO"))))))</f>
        <v/>
      </c>
      <c r="O105" s="74">
        <f>IF($M105="","",IF($J105="","",IF($J105&gt;2*$M105,"ENVIAR a otra tienda",IF($J105&lt;0.5*$M105,"PEDIR traslado","—"))))</f>
        <v/>
      </c>
    </row>
    <row r="106" ht="15" customHeight="1" s="47">
      <c r="A106" s="182" t="inlineStr">
        <is>
          <t>T03</t>
        </is>
      </c>
      <c r="B106" s="182" t="inlineStr">
        <is>
          <t>EL-006</t>
        </is>
      </c>
      <c r="C106" s="59">
        <f>IFERROR(INDEX(Productos!$B$5:$B$124,MATCH($B106,Productos!$A$5:$A$124,0)),"")</f>
        <v/>
      </c>
      <c r="D106" s="59">
        <f>IFERROR(INDEX(Productos!$D$5:$D$124,MATCH($B106,Productos!$A$5:$A$124,0)),"")</f>
        <v/>
      </c>
      <c r="E106" s="186" t="n">
        <v>6</v>
      </c>
      <c r="F106" s="70">
        <f>IF($B106="",0,SUMIFS(Ventas!$F$5:$F$504,Ventas!$B$5:$B$504,$A106,Ventas!$C$5:$C$504,$B106))</f>
        <v/>
      </c>
      <c r="G106" s="71">
        <f>IF($B106="",0,SUMIFS(Ventas!$L$5:$L$504,Ventas!$B$5:$B$504,$A106,Ventas!$C$5:$C$504,$B106))</f>
        <v/>
      </c>
      <c r="H106" s="71">
        <f>IF($B106="",0,SUMIFS(Ventas!$P$5:$P$504,Ventas!$B$5:$B$504,$A106,Ventas!$C$5:$C$504,$B106))</f>
        <v/>
      </c>
      <c r="I106" s="72">
        <f>IF($F106=0,0,$F106/Inicio!$C$22)</f>
        <v/>
      </c>
      <c r="J106" s="73">
        <f>IF($I106=0,"",ROUND($E106/$I106,0))</f>
        <v/>
      </c>
      <c r="K106" s="71">
        <f>IF($B106="",0,$E106*IFERROR(INDEX(Productos!$G$5:$G$124,MATCH($B106,Productos!$A$5:$A$124,0)),0))</f>
        <v/>
      </c>
      <c r="L106" s="71">
        <f>IF($K106=0,0,$K106*Inicio!$C$25/365*Inicio!$C$22)</f>
        <v/>
      </c>
      <c r="M106" s="73">
        <f>IF($B106="","",IF(SUMIF($B$5:$B$304,$B106,$F$5:$F$304)=0,"",ROUND(SUMIF($B$5:$B$304,$B106,$E$5:$E$304)/(SUMIF($B$5:$B$304,$B106,$F$5:$F$304)/Inicio!$C$22),0)))</f>
        <v/>
      </c>
      <c r="N106" s="74">
        <f>IF($B106="","",IF(AND($E106&lt;=0,$F106&gt;0),"QUIEBRE",IF(AND($F106=0,$E106&gt;0),"SIN ROTACIÓN",IF($J106="","",IF($J106&lt;Inicio!$C$23,"RIESGO DE QUIEBRE",IF($J106&gt;Inicio!$C$24*1.5,"EXCESO","SANO"))))))</f>
        <v/>
      </c>
      <c r="O106" s="74">
        <f>IF($M106="","",IF($J106="","",IF($J106&gt;2*$M106,"ENVIAR a otra tienda",IF($J106&lt;0.5*$M106,"PEDIR traslado","—"))))</f>
        <v/>
      </c>
    </row>
    <row r="107" ht="15" customHeight="1" s="47">
      <c r="A107" s="182" t="inlineStr">
        <is>
          <t>T03</t>
        </is>
      </c>
      <c r="B107" s="182" t="inlineStr">
        <is>
          <t>EL-007</t>
        </is>
      </c>
      <c r="C107" s="59">
        <f>IFERROR(INDEX(Productos!$B$5:$B$124,MATCH($B107,Productos!$A$5:$A$124,0)),"")</f>
        <v/>
      </c>
      <c r="D107" s="59">
        <f>IFERROR(INDEX(Productos!$D$5:$D$124,MATCH($B107,Productos!$A$5:$A$124,0)),"")</f>
        <v/>
      </c>
      <c r="E107" s="186" t="n">
        <v>3</v>
      </c>
      <c r="F107" s="70">
        <f>IF($B107="",0,SUMIFS(Ventas!$F$5:$F$504,Ventas!$B$5:$B$504,$A107,Ventas!$C$5:$C$504,$B107))</f>
        <v/>
      </c>
      <c r="G107" s="71">
        <f>IF($B107="",0,SUMIFS(Ventas!$L$5:$L$504,Ventas!$B$5:$B$504,$A107,Ventas!$C$5:$C$504,$B107))</f>
        <v/>
      </c>
      <c r="H107" s="71">
        <f>IF($B107="",0,SUMIFS(Ventas!$P$5:$P$504,Ventas!$B$5:$B$504,$A107,Ventas!$C$5:$C$504,$B107))</f>
        <v/>
      </c>
      <c r="I107" s="72">
        <f>IF($F107=0,0,$F107/Inicio!$C$22)</f>
        <v/>
      </c>
      <c r="J107" s="73">
        <f>IF($I107=0,"",ROUND($E107/$I107,0))</f>
        <v/>
      </c>
      <c r="K107" s="71">
        <f>IF($B107="",0,$E107*IFERROR(INDEX(Productos!$G$5:$G$124,MATCH($B107,Productos!$A$5:$A$124,0)),0))</f>
        <v/>
      </c>
      <c r="L107" s="71">
        <f>IF($K107=0,0,$K107*Inicio!$C$25/365*Inicio!$C$22)</f>
        <v/>
      </c>
      <c r="M107" s="73">
        <f>IF($B107="","",IF(SUMIF($B$5:$B$304,$B107,$F$5:$F$304)=0,"",ROUND(SUMIF($B$5:$B$304,$B107,$E$5:$E$304)/(SUMIF($B$5:$B$304,$B107,$F$5:$F$304)/Inicio!$C$22),0)))</f>
        <v/>
      </c>
      <c r="N107" s="74">
        <f>IF($B107="","",IF(AND($E107&lt;=0,$F107&gt;0),"QUIEBRE",IF(AND($F107=0,$E107&gt;0),"SIN ROTACIÓN",IF($J107="","",IF($J107&lt;Inicio!$C$23,"RIESGO DE QUIEBRE",IF($J107&gt;Inicio!$C$24*1.5,"EXCESO","SANO"))))))</f>
        <v/>
      </c>
      <c r="O107" s="74">
        <f>IF($M107="","",IF($J107="","",IF($J107&gt;2*$M107,"ENVIAR a otra tienda",IF($J107&lt;0.5*$M107,"PEDIR traslado","—"))))</f>
        <v/>
      </c>
    </row>
    <row r="108" ht="15" customHeight="1" s="47">
      <c r="A108" s="182" t="inlineStr">
        <is>
          <t>T03</t>
        </is>
      </c>
      <c r="B108" s="182" t="inlineStr">
        <is>
          <t>EL-008</t>
        </is>
      </c>
      <c r="C108" s="59">
        <f>IFERROR(INDEX(Productos!$B$5:$B$124,MATCH($B108,Productos!$A$5:$A$124,0)),"")</f>
        <v/>
      </c>
      <c r="D108" s="59">
        <f>IFERROR(INDEX(Productos!$D$5:$D$124,MATCH($B108,Productos!$A$5:$A$124,0)),"")</f>
        <v/>
      </c>
      <c r="E108" s="186" t="n">
        <v>6</v>
      </c>
      <c r="F108" s="70">
        <f>IF($B108="",0,SUMIFS(Ventas!$F$5:$F$504,Ventas!$B$5:$B$504,$A108,Ventas!$C$5:$C$504,$B108))</f>
        <v/>
      </c>
      <c r="G108" s="71">
        <f>IF($B108="",0,SUMIFS(Ventas!$L$5:$L$504,Ventas!$B$5:$B$504,$A108,Ventas!$C$5:$C$504,$B108))</f>
        <v/>
      </c>
      <c r="H108" s="71">
        <f>IF($B108="",0,SUMIFS(Ventas!$P$5:$P$504,Ventas!$B$5:$B$504,$A108,Ventas!$C$5:$C$504,$B108))</f>
        <v/>
      </c>
      <c r="I108" s="72">
        <f>IF($F108=0,0,$F108/Inicio!$C$22)</f>
        <v/>
      </c>
      <c r="J108" s="73">
        <f>IF($I108=0,"",ROUND($E108/$I108,0))</f>
        <v/>
      </c>
      <c r="K108" s="71">
        <f>IF($B108="",0,$E108*IFERROR(INDEX(Productos!$G$5:$G$124,MATCH($B108,Productos!$A$5:$A$124,0)),0))</f>
        <v/>
      </c>
      <c r="L108" s="71">
        <f>IF($K108=0,0,$K108*Inicio!$C$25/365*Inicio!$C$22)</f>
        <v/>
      </c>
      <c r="M108" s="73">
        <f>IF($B108="","",IF(SUMIF($B$5:$B$304,$B108,$F$5:$F$304)=0,"",ROUND(SUMIF($B$5:$B$304,$B108,$E$5:$E$304)/(SUMIF($B$5:$B$304,$B108,$F$5:$F$304)/Inicio!$C$22),0)))</f>
        <v/>
      </c>
      <c r="N108" s="74">
        <f>IF($B108="","",IF(AND($E108&lt;=0,$F108&gt;0),"QUIEBRE",IF(AND($F108=0,$E108&gt;0),"SIN ROTACIÓN",IF($J108="","",IF($J108&lt;Inicio!$C$23,"RIESGO DE QUIEBRE",IF($J108&gt;Inicio!$C$24*1.5,"EXCESO","SANO"))))))</f>
        <v/>
      </c>
      <c r="O108" s="74">
        <f>IF($M108="","",IF($J108="","",IF($J108&gt;2*$M108,"ENVIAR a otra tienda",IF($J108&lt;0.5*$M108,"PEDIR traslado","—"))))</f>
        <v/>
      </c>
    </row>
    <row r="109" ht="15" customHeight="1" s="47">
      <c r="A109" s="182" t="inlineStr">
        <is>
          <t>T03</t>
        </is>
      </c>
      <c r="B109" s="182" t="inlineStr">
        <is>
          <t>EL-011</t>
        </is>
      </c>
      <c r="C109" s="59">
        <f>IFERROR(INDEX(Productos!$B$5:$B$124,MATCH($B109,Productos!$A$5:$A$124,0)),"")</f>
        <v/>
      </c>
      <c r="D109" s="59">
        <f>IFERROR(INDEX(Productos!$D$5:$D$124,MATCH($B109,Productos!$A$5:$A$124,0)),"")</f>
        <v/>
      </c>
      <c r="E109" s="186" t="n">
        <v>11</v>
      </c>
      <c r="F109" s="70">
        <f>IF($B109="",0,SUMIFS(Ventas!$F$5:$F$504,Ventas!$B$5:$B$504,$A109,Ventas!$C$5:$C$504,$B109))</f>
        <v/>
      </c>
      <c r="G109" s="71">
        <f>IF($B109="",0,SUMIFS(Ventas!$L$5:$L$504,Ventas!$B$5:$B$504,$A109,Ventas!$C$5:$C$504,$B109))</f>
        <v/>
      </c>
      <c r="H109" s="71">
        <f>IF($B109="",0,SUMIFS(Ventas!$P$5:$P$504,Ventas!$B$5:$B$504,$A109,Ventas!$C$5:$C$504,$B109))</f>
        <v/>
      </c>
      <c r="I109" s="72">
        <f>IF($F109=0,0,$F109/Inicio!$C$22)</f>
        <v/>
      </c>
      <c r="J109" s="73">
        <f>IF($I109=0,"",ROUND($E109/$I109,0))</f>
        <v/>
      </c>
      <c r="K109" s="71">
        <f>IF($B109="",0,$E109*IFERROR(INDEX(Productos!$G$5:$G$124,MATCH($B109,Productos!$A$5:$A$124,0)),0))</f>
        <v/>
      </c>
      <c r="L109" s="71">
        <f>IF($K109=0,0,$K109*Inicio!$C$25/365*Inicio!$C$22)</f>
        <v/>
      </c>
      <c r="M109" s="73">
        <f>IF($B109="","",IF(SUMIF($B$5:$B$304,$B109,$F$5:$F$304)=0,"",ROUND(SUMIF($B$5:$B$304,$B109,$E$5:$E$304)/(SUMIF($B$5:$B$304,$B109,$F$5:$F$304)/Inicio!$C$22),0)))</f>
        <v/>
      </c>
      <c r="N109" s="74">
        <f>IF($B109="","",IF(AND($E109&lt;=0,$F109&gt;0),"QUIEBRE",IF(AND($F109=0,$E109&gt;0),"SIN ROTACIÓN",IF($J109="","",IF($J109&lt;Inicio!$C$23,"RIESGO DE QUIEBRE",IF($J109&gt;Inicio!$C$24*1.5,"EXCESO","SANO"))))))</f>
        <v/>
      </c>
      <c r="O109" s="74">
        <f>IF($M109="","",IF($J109="","",IF($J109&gt;2*$M109,"ENVIAR a otra tienda",IF($J109&lt;0.5*$M109,"PEDIR traslado","—"))))</f>
        <v/>
      </c>
    </row>
    <row r="110" ht="15" customHeight="1" s="47">
      <c r="A110" s="182" t="inlineStr">
        <is>
          <t>T03</t>
        </is>
      </c>
      <c r="B110" s="182" t="inlineStr">
        <is>
          <t>EL-013</t>
        </is>
      </c>
      <c r="C110" s="59">
        <f>IFERROR(INDEX(Productos!$B$5:$B$124,MATCH($B110,Productos!$A$5:$A$124,0)),"")</f>
        <v/>
      </c>
      <c r="D110" s="59">
        <f>IFERROR(INDEX(Productos!$D$5:$D$124,MATCH($B110,Productos!$A$5:$A$124,0)),"")</f>
        <v/>
      </c>
      <c r="E110" s="186" t="n">
        <v>7</v>
      </c>
      <c r="F110" s="70">
        <f>IF($B110="",0,SUMIFS(Ventas!$F$5:$F$504,Ventas!$B$5:$B$504,$A110,Ventas!$C$5:$C$504,$B110))</f>
        <v/>
      </c>
      <c r="G110" s="71">
        <f>IF($B110="",0,SUMIFS(Ventas!$L$5:$L$504,Ventas!$B$5:$B$504,$A110,Ventas!$C$5:$C$504,$B110))</f>
        <v/>
      </c>
      <c r="H110" s="71">
        <f>IF($B110="",0,SUMIFS(Ventas!$P$5:$P$504,Ventas!$B$5:$B$504,$A110,Ventas!$C$5:$C$504,$B110))</f>
        <v/>
      </c>
      <c r="I110" s="72">
        <f>IF($F110=0,0,$F110/Inicio!$C$22)</f>
        <v/>
      </c>
      <c r="J110" s="73">
        <f>IF($I110=0,"",ROUND($E110/$I110,0))</f>
        <v/>
      </c>
      <c r="K110" s="71">
        <f>IF($B110="",0,$E110*IFERROR(INDEX(Productos!$G$5:$G$124,MATCH($B110,Productos!$A$5:$A$124,0)),0))</f>
        <v/>
      </c>
      <c r="L110" s="71">
        <f>IF($K110=0,0,$K110*Inicio!$C$25/365*Inicio!$C$22)</f>
        <v/>
      </c>
      <c r="M110" s="73">
        <f>IF($B110="","",IF(SUMIF($B$5:$B$304,$B110,$F$5:$F$304)=0,"",ROUND(SUMIF($B$5:$B$304,$B110,$E$5:$E$304)/(SUMIF($B$5:$B$304,$B110,$F$5:$F$304)/Inicio!$C$22),0)))</f>
        <v/>
      </c>
      <c r="N110" s="74">
        <f>IF($B110="","",IF(AND($E110&lt;=0,$F110&gt;0),"QUIEBRE",IF(AND($F110=0,$E110&gt;0),"SIN ROTACIÓN",IF($J110="","",IF($J110&lt;Inicio!$C$23,"RIESGO DE QUIEBRE",IF($J110&gt;Inicio!$C$24*1.5,"EXCESO","SANO"))))))</f>
        <v/>
      </c>
      <c r="O110" s="74">
        <f>IF($M110="","",IF($J110="","",IF($J110&gt;2*$M110,"ENVIAR a otra tienda",IF($J110&lt;0.5*$M110,"PEDIR traslado","—"))))</f>
        <v/>
      </c>
    </row>
    <row r="111" ht="15" customHeight="1" s="47">
      <c r="A111" s="182" t="inlineStr">
        <is>
          <t>T03</t>
        </is>
      </c>
      <c r="B111" s="182" t="inlineStr">
        <is>
          <t>EL-014</t>
        </is>
      </c>
      <c r="C111" s="59">
        <f>IFERROR(INDEX(Productos!$B$5:$B$124,MATCH($B111,Productos!$A$5:$A$124,0)),"")</f>
        <v/>
      </c>
      <c r="D111" s="59">
        <f>IFERROR(INDEX(Productos!$D$5:$D$124,MATCH($B111,Productos!$A$5:$A$124,0)),"")</f>
        <v/>
      </c>
      <c r="E111" s="186" t="n">
        <v>1</v>
      </c>
      <c r="F111" s="70">
        <f>IF($B111="",0,SUMIFS(Ventas!$F$5:$F$504,Ventas!$B$5:$B$504,$A111,Ventas!$C$5:$C$504,$B111))</f>
        <v/>
      </c>
      <c r="G111" s="71">
        <f>IF($B111="",0,SUMIFS(Ventas!$L$5:$L$504,Ventas!$B$5:$B$504,$A111,Ventas!$C$5:$C$504,$B111))</f>
        <v/>
      </c>
      <c r="H111" s="71">
        <f>IF($B111="",0,SUMIFS(Ventas!$P$5:$P$504,Ventas!$B$5:$B$504,$A111,Ventas!$C$5:$C$504,$B111))</f>
        <v/>
      </c>
      <c r="I111" s="72">
        <f>IF($F111=0,0,$F111/Inicio!$C$22)</f>
        <v/>
      </c>
      <c r="J111" s="73">
        <f>IF($I111=0,"",ROUND($E111/$I111,0))</f>
        <v/>
      </c>
      <c r="K111" s="71">
        <f>IF($B111="",0,$E111*IFERROR(INDEX(Productos!$G$5:$G$124,MATCH($B111,Productos!$A$5:$A$124,0)),0))</f>
        <v/>
      </c>
      <c r="L111" s="71">
        <f>IF($K111=0,0,$K111*Inicio!$C$25/365*Inicio!$C$22)</f>
        <v/>
      </c>
      <c r="M111" s="73">
        <f>IF($B111="","",IF(SUMIF($B$5:$B$304,$B111,$F$5:$F$304)=0,"",ROUND(SUMIF($B$5:$B$304,$B111,$E$5:$E$304)/(SUMIF($B$5:$B$304,$B111,$F$5:$F$304)/Inicio!$C$22),0)))</f>
        <v/>
      </c>
      <c r="N111" s="74">
        <f>IF($B111="","",IF(AND($E111&lt;=0,$F111&gt;0),"QUIEBRE",IF(AND($F111=0,$E111&gt;0),"SIN ROTACIÓN",IF($J111="","",IF($J111&lt;Inicio!$C$23,"RIESGO DE QUIEBRE",IF($J111&gt;Inicio!$C$24*1.5,"EXCESO","SANO"))))))</f>
        <v/>
      </c>
      <c r="O111" s="74">
        <f>IF($M111="","",IF($J111="","",IF($J111&gt;2*$M111,"ENVIAR a otra tienda",IF($J111&lt;0.5*$M111,"PEDIR traslado","—"))))</f>
        <v/>
      </c>
    </row>
    <row r="112" ht="15" customHeight="1" s="47">
      <c r="A112" s="182" t="inlineStr">
        <is>
          <t>T03</t>
        </is>
      </c>
      <c r="B112" s="182" t="inlineStr">
        <is>
          <t>EL-016</t>
        </is>
      </c>
      <c r="C112" s="59">
        <f>IFERROR(INDEX(Productos!$B$5:$B$124,MATCH($B112,Productos!$A$5:$A$124,0)),"")</f>
        <v/>
      </c>
      <c r="D112" s="59">
        <f>IFERROR(INDEX(Productos!$D$5:$D$124,MATCH($B112,Productos!$A$5:$A$124,0)),"")</f>
        <v/>
      </c>
      <c r="E112" s="186" t="n">
        <v>9</v>
      </c>
      <c r="F112" s="70">
        <f>IF($B112="",0,SUMIFS(Ventas!$F$5:$F$504,Ventas!$B$5:$B$504,$A112,Ventas!$C$5:$C$504,$B112))</f>
        <v/>
      </c>
      <c r="G112" s="71">
        <f>IF($B112="",0,SUMIFS(Ventas!$L$5:$L$504,Ventas!$B$5:$B$504,$A112,Ventas!$C$5:$C$504,$B112))</f>
        <v/>
      </c>
      <c r="H112" s="71">
        <f>IF($B112="",0,SUMIFS(Ventas!$P$5:$P$504,Ventas!$B$5:$B$504,$A112,Ventas!$C$5:$C$504,$B112))</f>
        <v/>
      </c>
      <c r="I112" s="72">
        <f>IF($F112=0,0,$F112/Inicio!$C$22)</f>
        <v/>
      </c>
      <c r="J112" s="73">
        <f>IF($I112=0,"",ROUND($E112/$I112,0))</f>
        <v/>
      </c>
      <c r="K112" s="71">
        <f>IF($B112="",0,$E112*IFERROR(INDEX(Productos!$G$5:$G$124,MATCH($B112,Productos!$A$5:$A$124,0)),0))</f>
        <v/>
      </c>
      <c r="L112" s="71">
        <f>IF($K112=0,0,$K112*Inicio!$C$25/365*Inicio!$C$22)</f>
        <v/>
      </c>
      <c r="M112" s="73">
        <f>IF($B112="","",IF(SUMIF($B$5:$B$304,$B112,$F$5:$F$304)=0,"",ROUND(SUMIF($B$5:$B$304,$B112,$E$5:$E$304)/(SUMIF($B$5:$B$304,$B112,$F$5:$F$304)/Inicio!$C$22),0)))</f>
        <v/>
      </c>
      <c r="N112" s="74">
        <f>IF($B112="","",IF(AND($E112&lt;=0,$F112&gt;0),"QUIEBRE",IF(AND($F112=0,$E112&gt;0),"SIN ROTACIÓN",IF($J112="","",IF($J112&lt;Inicio!$C$23,"RIESGO DE QUIEBRE",IF($J112&gt;Inicio!$C$24*1.5,"EXCESO","SANO"))))))</f>
        <v/>
      </c>
      <c r="O112" s="74">
        <f>IF($M112="","",IF($J112="","",IF($J112&gt;2*$M112,"ENVIAR a otra tienda",IF($J112&lt;0.5*$M112,"PEDIR traslado","—"))))</f>
        <v/>
      </c>
    </row>
    <row r="113" ht="15" customHeight="1" s="47">
      <c r="A113" s="182" t="inlineStr">
        <is>
          <t>T03</t>
        </is>
      </c>
      <c r="B113" s="182" t="inlineStr">
        <is>
          <t>EL-017</t>
        </is>
      </c>
      <c r="C113" s="59">
        <f>IFERROR(INDEX(Productos!$B$5:$B$124,MATCH($B113,Productos!$A$5:$A$124,0)),"")</f>
        <v/>
      </c>
      <c r="D113" s="59">
        <f>IFERROR(INDEX(Productos!$D$5:$D$124,MATCH($B113,Productos!$A$5:$A$124,0)),"")</f>
        <v/>
      </c>
      <c r="E113" s="186" t="n">
        <v>3</v>
      </c>
      <c r="F113" s="70">
        <f>IF($B113="",0,SUMIFS(Ventas!$F$5:$F$504,Ventas!$B$5:$B$504,$A113,Ventas!$C$5:$C$504,$B113))</f>
        <v/>
      </c>
      <c r="G113" s="71">
        <f>IF($B113="",0,SUMIFS(Ventas!$L$5:$L$504,Ventas!$B$5:$B$504,$A113,Ventas!$C$5:$C$504,$B113))</f>
        <v/>
      </c>
      <c r="H113" s="71">
        <f>IF($B113="",0,SUMIFS(Ventas!$P$5:$P$504,Ventas!$B$5:$B$504,$A113,Ventas!$C$5:$C$504,$B113))</f>
        <v/>
      </c>
      <c r="I113" s="72">
        <f>IF($F113=0,0,$F113/Inicio!$C$22)</f>
        <v/>
      </c>
      <c r="J113" s="73">
        <f>IF($I113=0,"",ROUND($E113/$I113,0))</f>
        <v/>
      </c>
      <c r="K113" s="71">
        <f>IF($B113="",0,$E113*IFERROR(INDEX(Productos!$G$5:$G$124,MATCH($B113,Productos!$A$5:$A$124,0)),0))</f>
        <v/>
      </c>
      <c r="L113" s="71">
        <f>IF($K113=0,0,$K113*Inicio!$C$25/365*Inicio!$C$22)</f>
        <v/>
      </c>
      <c r="M113" s="73">
        <f>IF($B113="","",IF(SUMIF($B$5:$B$304,$B113,$F$5:$F$304)=0,"",ROUND(SUMIF($B$5:$B$304,$B113,$E$5:$E$304)/(SUMIF($B$5:$B$304,$B113,$F$5:$F$304)/Inicio!$C$22),0)))</f>
        <v/>
      </c>
      <c r="N113" s="74">
        <f>IF($B113="","",IF(AND($E113&lt;=0,$F113&gt;0),"QUIEBRE",IF(AND($F113=0,$E113&gt;0),"SIN ROTACIÓN",IF($J113="","",IF($J113&lt;Inicio!$C$23,"RIESGO DE QUIEBRE",IF($J113&gt;Inicio!$C$24*1.5,"EXCESO","SANO"))))))</f>
        <v/>
      </c>
      <c r="O113" s="74">
        <f>IF($M113="","",IF($J113="","",IF($J113&gt;2*$M113,"ENVIAR a otra tienda",IF($J113&lt;0.5*$M113,"PEDIR traslado","—"))))</f>
        <v/>
      </c>
    </row>
    <row r="114" ht="15" customHeight="1" s="47">
      <c r="A114" s="182" t="inlineStr">
        <is>
          <t>T03</t>
        </is>
      </c>
      <c r="B114" s="182" t="inlineStr">
        <is>
          <t>EL-018</t>
        </is>
      </c>
      <c r="C114" s="59">
        <f>IFERROR(INDEX(Productos!$B$5:$B$124,MATCH($B114,Productos!$A$5:$A$124,0)),"")</f>
        <v/>
      </c>
      <c r="D114" s="59">
        <f>IFERROR(INDEX(Productos!$D$5:$D$124,MATCH($B114,Productos!$A$5:$A$124,0)),"")</f>
        <v/>
      </c>
      <c r="E114" s="186" t="n">
        <v>0</v>
      </c>
      <c r="F114" s="70">
        <f>IF($B114="",0,SUMIFS(Ventas!$F$5:$F$504,Ventas!$B$5:$B$504,$A114,Ventas!$C$5:$C$504,$B114))</f>
        <v/>
      </c>
      <c r="G114" s="71">
        <f>IF($B114="",0,SUMIFS(Ventas!$L$5:$L$504,Ventas!$B$5:$B$504,$A114,Ventas!$C$5:$C$504,$B114))</f>
        <v/>
      </c>
      <c r="H114" s="71">
        <f>IF($B114="",0,SUMIFS(Ventas!$P$5:$P$504,Ventas!$B$5:$B$504,$A114,Ventas!$C$5:$C$504,$B114))</f>
        <v/>
      </c>
      <c r="I114" s="72">
        <f>IF($F114=0,0,$F114/Inicio!$C$22)</f>
        <v/>
      </c>
      <c r="J114" s="73">
        <f>IF($I114=0,"",ROUND($E114/$I114,0))</f>
        <v/>
      </c>
      <c r="K114" s="71">
        <f>IF($B114="",0,$E114*IFERROR(INDEX(Productos!$G$5:$G$124,MATCH($B114,Productos!$A$5:$A$124,0)),0))</f>
        <v/>
      </c>
      <c r="L114" s="71">
        <f>IF($K114=0,0,$K114*Inicio!$C$25/365*Inicio!$C$22)</f>
        <v/>
      </c>
      <c r="M114" s="73">
        <f>IF($B114="","",IF(SUMIF($B$5:$B$304,$B114,$F$5:$F$304)=0,"",ROUND(SUMIF($B$5:$B$304,$B114,$E$5:$E$304)/(SUMIF($B$5:$B$304,$B114,$F$5:$F$304)/Inicio!$C$22),0)))</f>
        <v/>
      </c>
      <c r="N114" s="74">
        <f>IF($B114="","",IF(AND($E114&lt;=0,$F114&gt;0),"QUIEBRE",IF(AND($F114=0,$E114&gt;0),"SIN ROTACIÓN",IF($J114="","",IF($J114&lt;Inicio!$C$23,"RIESGO DE QUIEBRE",IF($J114&gt;Inicio!$C$24*1.5,"EXCESO","SANO"))))))</f>
        <v/>
      </c>
      <c r="O114" s="74">
        <f>IF($M114="","",IF($J114="","",IF($J114&gt;2*$M114,"ENVIAR a otra tienda",IF($J114&lt;0.5*$M114,"PEDIR traslado","—"))))</f>
        <v/>
      </c>
    </row>
    <row r="115" ht="15" customHeight="1" s="47">
      <c r="A115" s="182" t="inlineStr">
        <is>
          <t>T03</t>
        </is>
      </c>
      <c r="B115" s="182" t="inlineStr">
        <is>
          <t>EL-019</t>
        </is>
      </c>
      <c r="C115" s="59">
        <f>IFERROR(INDEX(Productos!$B$5:$B$124,MATCH($B115,Productos!$A$5:$A$124,0)),"")</f>
        <v/>
      </c>
      <c r="D115" s="59">
        <f>IFERROR(INDEX(Productos!$D$5:$D$124,MATCH($B115,Productos!$A$5:$A$124,0)),"")</f>
        <v/>
      </c>
      <c r="E115" s="186" t="n">
        <v>2</v>
      </c>
      <c r="F115" s="70">
        <f>IF($B115="",0,SUMIFS(Ventas!$F$5:$F$504,Ventas!$B$5:$B$504,$A115,Ventas!$C$5:$C$504,$B115))</f>
        <v/>
      </c>
      <c r="G115" s="71">
        <f>IF($B115="",0,SUMIFS(Ventas!$L$5:$L$504,Ventas!$B$5:$B$504,$A115,Ventas!$C$5:$C$504,$B115))</f>
        <v/>
      </c>
      <c r="H115" s="71">
        <f>IF($B115="",0,SUMIFS(Ventas!$P$5:$P$504,Ventas!$B$5:$B$504,$A115,Ventas!$C$5:$C$504,$B115))</f>
        <v/>
      </c>
      <c r="I115" s="72">
        <f>IF($F115=0,0,$F115/Inicio!$C$22)</f>
        <v/>
      </c>
      <c r="J115" s="73">
        <f>IF($I115=0,"",ROUND($E115/$I115,0))</f>
        <v/>
      </c>
      <c r="K115" s="71">
        <f>IF($B115="",0,$E115*IFERROR(INDEX(Productos!$G$5:$G$124,MATCH($B115,Productos!$A$5:$A$124,0)),0))</f>
        <v/>
      </c>
      <c r="L115" s="71">
        <f>IF($K115=0,0,$K115*Inicio!$C$25/365*Inicio!$C$22)</f>
        <v/>
      </c>
      <c r="M115" s="73">
        <f>IF($B115="","",IF(SUMIF($B$5:$B$304,$B115,$F$5:$F$304)=0,"",ROUND(SUMIF($B$5:$B$304,$B115,$E$5:$E$304)/(SUMIF($B$5:$B$304,$B115,$F$5:$F$304)/Inicio!$C$22),0)))</f>
        <v/>
      </c>
      <c r="N115" s="74">
        <f>IF($B115="","",IF(AND($E115&lt;=0,$F115&gt;0),"QUIEBRE",IF(AND($F115=0,$E115&gt;0),"SIN ROTACIÓN",IF($J115="","",IF($J115&lt;Inicio!$C$23,"RIESGO DE QUIEBRE",IF($J115&gt;Inicio!$C$24*1.5,"EXCESO","SANO"))))))</f>
        <v/>
      </c>
      <c r="O115" s="74">
        <f>IF($M115="","",IF($J115="","",IF($J115&gt;2*$M115,"ENVIAR a otra tienda",IF($J115&lt;0.5*$M115,"PEDIR traslado","—"))))</f>
        <v/>
      </c>
    </row>
    <row r="116" ht="15" customHeight="1" s="47">
      <c r="A116" s="182" t="inlineStr">
        <is>
          <t>T03</t>
        </is>
      </c>
      <c r="B116" s="182" t="inlineStr">
        <is>
          <t>EL-020</t>
        </is>
      </c>
      <c r="C116" s="59">
        <f>IFERROR(INDEX(Productos!$B$5:$B$124,MATCH($B116,Productos!$A$5:$A$124,0)),"")</f>
        <v/>
      </c>
      <c r="D116" s="59">
        <f>IFERROR(INDEX(Productos!$D$5:$D$124,MATCH($B116,Productos!$A$5:$A$124,0)),"")</f>
        <v/>
      </c>
      <c r="E116" s="186" t="n">
        <v>5</v>
      </c>
      <c r="F116" s="70">
        <f>IF($B116="",0,SUMIFS(Ventas!$F$5:$F$504,Ventas!$B$5:$B$504,$A116,Ventas!$C$5:$C$504,$B116))</f>
        <v/>
      </c>
      <c r="G116" s="71">
        <f>IF($B116="",0,SUMIFS(Ventas!$L$5:$L$504,Ventas!$B$5:$B$504,$A116,Ventas!$C$5:$C$504,$B116))</f>
        <v/>
      </c>
      <c r="H116" s="71">
        <f>IF($B116="",0,SUMIFS(Ventas!$P$5:$P$504,Ventas!$B$5:$B$504,$A116,Ventas!$C$5:$C$504,$B116))</f>
        <v/>
      </c>
      <c r="I116" s="72">
        <f>IF($F116=0,0,$F116/Inicio!$C$22)</f>
        <v/>
      </c>
      <c r="J116" s="73">
        <f>IF($I116=0,"",ROUND($E116/$I116,0))</f>
        <v/>
      </c>
      <c r="K116" s="71">
        <f>IF($B116="",0,$E116*IFERROR(INDEX(Productos!$G$5:$G$124,MATCH($B116,Productos!$A$5:$A$124,0)),0))</f>
        <v/>
      </c>
      <c r="L116" s="71">
        <f>IF($K116=0,0,$K116*Inicio!$C$25/365*Inicio!$C$22)</f>
        <v/>
      </c>
      <c r="M116" s="73">
        <f>IF($B116="","",IF(SUMIF($B$5:$B$304,$B116,$F$5:$F$304)=0,"",ROUND(SUMIF($B$5:$B$304,$B116,$E$5:$E$304)/(SUMIF($B$5:$B$304,$B116,$F$5:$F$304)/Inicio!$C$22),0)))</f>
        <v/>
      </c>
      <c r="N116" s="74">
        <f>IF($B116="","",IF(AND($E116&lt;=0,$F116&gt;0),"QUIEBRE",IF(AND($F116=0,$E116&gt;0),"SIN ROTACIÓN",IF($J116="","",IF($J116&lt;Inicio!$C$23,"RIESGO DE QUIEBRE",IF($J116&gt;Inicio!$C$24*1.5,"EXCESO","SANO"))))))</f>
        <v/>
      </c>
      <c r="O116" s="74">
        <f>IF($M116="","",IF($J116="","",IF($J116&gt;2*$M116,"ENVIAR a otra tienda",IF($J116&lt;0.5*$M116,"PEDIR traslado","—"))))</f>
        <v/>
      </c>
    </row>
    <row r="117" ht="15" customHeight="1" s="47">
      <c r="A117" s="182" t="inlineStr">
        <is>
          <t>T03</t>
        </is>
      </c>
      <c r="B117" s="182" t="inlineStr">
        <is>
          <t>EL-021</t>
        </is>
      </c>
      <c r="C117" s="59">
        <f>IFERROR(INDEX(Productos!$B$5:$B$124,MATCH($B117,Productos!$A$5:$A$124,0)),"")</f>
        <v/>
      </c>
      <c r="D117" s="59">
        <f>IFERROR(INDEX(Productos!$D$5:$D$124,MATCH($B117,Productos!$A$5:$A$124,0)),"")</f>
        <v/>
      </c>
      <c r="E117" s="186" t="n">
        <v>2</v>
      </c>
      <c r="F117" s="70">
        <f>IF($B117="",0,SUMIFS(Ventas!$F$5:$F$504,Ventas!$B$5:$B$504,$A117,Ventas!$C$5:$C$504,$B117))</f>
        <v/>
      </c>
      <c r="G117" s="71">
        <f>IF($B117="",0,SUMIFS(Ventas!$L$5:$L$504,Ventas!$B$5:$B$504,$A117,Ventas!$C$5:$C$504,$B117))</f>
        <v/>
      </c>
      <c r="H117" s="71">
        <f>IF($B117="",0,SUMIFS(Ventas!$P$5:$P$504,Ventas!$B$5:$B$504,$A117,Ventas!$C$5:$C$504,$B117))</f>
        <v/>
      </c>
      <c r="I117" s="72">
        <f>IF($F117=0,0,$F117/Inicio!$C$22)</f>
        <v/>
      </c>
      <c r="J117" s="73">
        <f>IF($I117=0,"",ROUND($E117/$I117,0))</f>
        <v/>
      </c>
      <c r="K117" s="71">
        <f>IF($B117="",0,$E117*IFERROR(INDEX(Productos!$G$5:$G$124,MATCH($B117,Productos!$A$5:$A$124,0)),0))</f>
        <v/>
      </c>
      <c r="L117" s="71">
        <f>IF($K117=0,0,$K117*Inicio!$C$25/365*Inicio!$C$22)</f>
        <v/>
      </c>
      <c r="M117" s="73">
        <f>IF($B117="","",IF(SUMIF($B$5:$B$304,$B117,$F$5:$F$304)=0,"",ROUND(SUMIF($B$5:$B$304,$B117,$E$5:$E$304)/(SUMIF($B$5:$B$304,$B117,$F$5:$F$304)/Inicio!$C$22),0)))</f>
        <v/>
      </c>
      <c r="N117" s="74">
        <f>IF($B117="","",IF(AND($E117&lt;=0,$F117&gt;0),"QUIEBRE",IF(AND($F117=0,$E117&gt;0),"SIN ROTACIÓN",IF($J117="","",IF($J117&lt;Inicio!$C$23,"RIESGO DE QUIEBRE",IF($J117&gt;Inicio!$C$24*1.5,"EXCESO","SANO"))))))</f>
        <v/>
      </c>
      <c r="O117" s="74">
        <f>IF($M117="","",IF($J117="","",IF($J117&gt;2*$M117,"ENVIAR a otra tienda",IF($J117&lt;0.5*$M117,"PEDIR traslado","—"))))</f>
        <v/>
      </c>
    </row>
    <row r="118" ht="15" customHeight="1" s="47">
      <c r="A118" s="182" t="inlineStr">
        <is>
          <t>T03</t>
        </is>
      </c>
      <c r="B118" s="182" t="inlineStr">
        <is>
          <t>EL-023</t>
        </is>
      </c>
      <c r="C118" s="59">
        <f>IFERROR(INDEX(Productos!$B$5:$B$124,MATCH($B118,Productos!$A$5:$A$124,0)),"")</f>
        <v/>
      </c>
      <c r="D118" s="59">
        <f>IFERROR(INDEX(Productos!$D$5:$D$124,MATCH($B118,Productos!$A$5:$A$124,0)),"")</f>
        <v/>
      </c>
      <c r="E118" s="186" t="n">
        <v>4</v>
      </c>
      <c r="F118" s="70">
        <f>IF($B118="",0,SUMIFS(Ventas!$F$5:$F$504,Ventas!$B$5:$B$504,$A118,Ventas!$C$5:$C$504,$B118))</f>
        <v/>
      </c>
      <c r="G118" s="71">
        <f>IF($B118="",0,SUMIFS(Ventas!$L$5:$L$504,Ventas!$B$5:$B$504,$A118,Ventas!$C$5:$C$504,$B118))</f>
        <v/>
      </c>
      <c r="H118" s="71">
        <f>IF($B118="",0,SUMIFS(Ventas!$P$5:$P$504,Ventas!$B$5:$B$504,$A118,Ventas!$C$5:$C$504,$B118))</f>
        <v/>
      </c>
      <c r="I118" s="72">
        <f>IF($F118=0,0,$F118/Inicio!$C$22)</f>
        <v/>
      </c>
      <c r="J118" s="73">
        <f>IF($I118=0,"",ROUND($E118/$I118,0))</f>
        <v/>
      </c>
      <c r="K118" s="71">
        <f>IF($B118="",0,$E118*IFERROR(INDEX(Productos!$G$5:$G$124,MATCH($B118,Productos!$A$5:$A$124,0)),0))</f>
        <v/>
      </c>
      <c r="L118" s="71">
        <f>IF($K118=0,0,$K118*Inicio!$C$25/365*Inicio!$C$22)</f>
        <v/>
      </c>
      <c r="M118" s="73">
        <f>IF($B118="","",IF(SUMIF($B$5:$B$304,$B118,$F$5:$F$304)=0,"",ROUND(SUMIF($B$5:$B$304,$B118,$E$5:$E$304)/(SUMIF($B$5:$B$304,$B118,$F$5:$F$304)/Inicio!$C$22),0)))</f>
        <v/>
      </c>
      <c r="N118" s="74">
        <f>IF($B118="","",IF(AND($E118&lt;=0,$F118&gt;0),"QUIEBRE",IF(AND($F118=0,$E118&gt;0),"SIN ROTACIÓN",IF($J118="","",IF($J118&lt;Inicio!$C$23,"RIESGO DE QUIEBRE",IF($J118&gt;Inicio!$C$24*1.5,"EXCESO","SANO"))))))</f>
        <v/>
      </c>
      <c r="O118" s="74">
        <f>IF($M118="","",IF($J118="","",IF($J118&gt;2*$M118,"ENVIAR a otra tienda",IF($J118&lt;0.5*$M118,"PEDIR traslado","—"))))</f>
        <v/>
      </c>
    </row>
    <row r="119" ht="15" customHeight="1" s="47">
      <c r="A119" s="182" t="inlineStr">
        <is>
          <t>T03</t>
        </is>
      </c>
      <c r="B119" s="182" t="inlineStr">
        <is>
          <t>EL-024</t>
        </is>
      </c>
      <c r="C119" s="59">
        <f>IFERROR(INDEX(Productos!$B$5:$B$124,MATCH($B119,Productos!$A$5:$A$124,0)),"")</f>
        <v/>
      </c>
      <c r="D119" s="59">
        <f>IFERROR(INDEX(Productos!$D$5:$D$124,MATCH($B119,Productos!$A$5:$A$124,0)),"")</f>
        <v/>
      </c>
      <c r="E119" s="186" t="n">
        <v>20</v>
      </c>
      <c r="F119" s="70">
        <f>IF($B119="",0,SUMIFS(Ventas!$F$5:$F$504,Ventas!$B$5:$B$504,$A119,Ventas!$C$5:$C$504,$B119))</f>
        <v/>
      </c>
      <c r="G119" s="71">
        <f>IF($B119="",0,SUMIFS(Ventas!$L$5:$L$504,Ventas!$B$5:$B$504,$A119,Ventas!$C$5:$C$504,$B119))</f>
        <v/>
      </c>
      <c r="H119" s="71">
        <f>IF($B119="",0,SUMIFS(Ventas!$P$5:$P$504,Ventas!$B$5:$B$504,$A119,Ventas!$C$5:$C$504,$B119))</f>
        <v/>
      </c>
      <c r="I119" s="72">
        <f>IF($F119=0,0,$F119/Inicio!$C$22)</f>
        <v/>
      </c>
      <c r="J119" s="73">
        <f>IF($I119=0,"",ROUND($E119/$I119,0))</f>
        <v/>
      </c>
      <c r="K119" s="71">
        <f>IF($B119="",0,$E119*IFERROR(INDEX(Productos!$G$5:$G$124,MATCH($B119,Productos!$A$5:$A$124,0)),0))</f>
        <v/>
      </c>
      <c r="L119" s="71">
        <f>IF($K119=0,0,$K119*Inicio!$C$25/365*Inicio!$C$22)</f>
        <v/>
      </c>
      <c r="M119" s="73">
        <f>IF($B119="","",IF(SUMIF($B$5:$B$304,$B119,$F$5:$F$304)=0,"",ROUND(SUMIF($B$5:$B$304,$B119,$E$5:$E$304)/(SUMIF($B$5:$B$304,$B119,$F$5:$F$304)/Inicio!$C$22),0)))</f>
        <v/>
      </c>
      <c r="N119" s="74">
        <f>IF($B119="","",IF(AND($E119&lt;=0,$F119&gt;0),"QUIEBRE",IF(AND($F119=0,$E119&gt;0),"SIN ROTACIÓN",IF($J119="","",IF($J119&lt;Inicio!$C$23,"RIESGO DE QUIEBRE",IF($J119&gt;Inicio!$C$24*1.5,"EXCESO","SANO"))))))</f>
        <v/>
      </c>
      <c r="O119" s="74">
        <f>IF($M119="","",IF($J119="","",IF($J119&gt;2*$M119,"ENVIAR a otra tienda",IF($J119&lt;0.5*$M119,"PEDIR traslado","—"))))</f>
        <v/>
      </c>
    </row>
    <row r="120" ht="15" customHeight="1" s="47">
      <c r="A120" s="182" t="inlineStr">
        <is>
          <t>T03</t>
        </is>
      </c>
      <c r="B120" s="182" t="inlineStr">
        <is>
          <t>EL-025</t>
        </is>
      </c>
      <c r="C120" s="59">
        <f>IFERROR(INDEX(Productos!$B$5:$B$124,MATCH($B120,Productos!$A$5:$A$124,0)),"")</f>
        <v/>
      </c>
      <c r="D120" s="59">
        <f>IFERROR(INDEX(Productos!$D$5:$D$124,MATCH($B120,Productos!$A$5:$A$124,0)),"")</f>
        <v/>
      </c>
      <c r="E120" s="186" t="n">
        <v>7</v>
      </c>
      <c r="F120" s="70">
        <f>IF($B120="",0,SUMIFS(Ventas!$F$5:$F$504,Ventas!$B$5:$B$504,$A120,Ventas!$C$5:$C$504,$B120))</f>
        <v/>
      </c>
      <c r="G120" s="71">
        <f>IF($B120="",0,SUMIFS(Ventas!$L$5:$L$504,Ventas!$B$5:$B$504,$A120,Ventas!$C$5:$C$504,$B120))</f>
        <v/>
      </c>
      <c r="H120" s="71">
        <f>IF($B120="",0,SUMIFS(Ventas!$P$5:$P$504,Ventas!$B$5:$B$504,$A120,Ventas!$C$5:$C$504,$B120))</f>
        <v/>
      </c>
      <c r="I120" s="72">
        <f>IF($F120=0,0,$F120/Inicio!$C$22)</f>
        <v/>
      </c>
      <c r="J120" s="73">
        <f>IF($I120=0,"",ROUND($E120/$I120,0))</f>
        <v/>
      </c>
      <c r="K120" s="71">
        <f>IF($B120="",0,$E120*IFERROR(INDEX(Productos!$G$5:$G$124,MATCH($B120,Productos!$A$5:$A$124,0)),0))</f>
        <v/>
      </c>
      <c r="L120" s="71">
        <f>IF($K120=0,0,$K120*Inicio!$C$25/365*Inicio!$C$22)</f>
        <v/>
      </c>
      <c r="M120" s="73">
        <f>IF($B120="","",IF(SUMIF($B$5:$B$304,$B120,$F$5:$F$304)=0,"",ROUND(SUMIF($B$5:$B$304,$B120,$E$5:$E$304)/(SUMIF($B$5:$B$304,$B120,$F$5:$F$304)/Inicio!$C$22),0)))</f>
        <v/>
      </c>
      <c r="N120" s="74">
        <f>IF($B120="","",IF(AND($E120&lt;=0,$F120&gt;0),"QUIEBRE",IF(AND($F120=0,$E120&gt;0),"SIN ROTACIÓN",IF($J120="","",IF($J120&lt;Inicio!$C$23,"RIESGO DE QUIEBRE",IF($J120&gt;Inicio!$C$24*1.5,"EXCESO","SANO"))))))</f>
        <v/>
      </c>
      <c r="O120" s="74">
        <f>IF($M120="","",IF($J120="","",IF($J120&gt;2*$M120,"ENVIAR a otra tienda",IF($J120&lt;0.5*$M120,"PEDIR traslado","—"))))</f>
        <v/>
      </c>
    </row>
    <row r="121" ht="15" customHeight="1" s="47">
      <c r="A121" s="182" t="inlineStr">
        <is>
          <t>T03</t>
        </is>
      </c>
      <c r="B121" s="182" t="inlineStr">
        <is>
          <t>EL-026</t>
        </is>
      </c>
      <c r="C121" s="59">
        <f>IFERROR(INDEX(Productos!$B$5:$B$124,MATCH($B121,Productos!$A$5:$A$124,0)),"")</f>
        <v/>
      </c>
      <c r="D121" s="59">
        <f>IFERROR(INDEX(Productos!$D$5:$D$124,MATCH($B121,Productos!$A$5:$A$124,0)),"")</f>
        <v/>
      </c>
      <c r="E121" s="186" t="n">
        <v>2</v>
      </c>
      <c r="F121" s="70">
        <f>IF($B121="",0,SUMIFS(Ventas!$F$5:$F$504,Ventas!$B$5:$B$504,$A121,Ventas!$C$5:$C$504,$B121))</f>
        <v/>
      </c>
      <c r="G121" s="71">
        <f>IF($B121="",0,SUMIFS(Ventas!$L$5:$L$504,Ventas!$B$5:$B$504,$A121,Ventas!$C$5:$C$504,$B121))</f>
        <v/>
      </c>
      <c r="H121" s="71">
        <f>IF($B121="",0,SUMIFS(Ventas!$P$5:$P$504,Ventas!$B$5:$B$504,$A121,Ventas!$C$5:$C$504,$B121))</f>
        <v/>
      </c>
      <c r="I121" s="72">
        <f>IF($F121=0,0,$F121/Inicio!$C$22)</f>
        <v/>
      </c>
      <c r="J121" s="73">
        <f>IF($I121=0,"",ROUND($E121/$I121,0))</f>
        <v/>
      </c>
      <c r="K121" s="71">
        <f>IF($B121="",0,$E121*IFERROR(INDEX(Productos!$G$5:$G$124,MATCH($B121,Productos!$A$5:$A$124,0)),0))</f>
        <v/>
      </c>
      <c r="L121" s="71">
        <f>IF($K121=0,0,$K121*Inicio!$C$25/365*Inicio!$C$22)</f>
        <v/>
      </c>
      <c r="M121" s="73">
        <f>IF($B121="","",IF(SUMIF($B$5:$B$304,$B121,$F$5:$F$304)=0,"",ROUND(SUMIF($B$5:$B$304,$B121,$E$5:$E$304)/(SUMIF($B$5:$B$304,$B121,$F$5:$F$304)/Inicio!$C$22),0)))</f>
        <v/>
      </c>
      <c r="N121" s="74">
        <f>IF($B121="","",IF(AND($E121&lt;=0,$F121&gt;0),"QUIEBRE",IF(AND($F121=0,$E121&gt;0),"SIN ROTACIÓN",IF($J121="","",IF($J121&lt;Inicio!$C$23,"RIESGO DE QUIEBRE",IF($J121&gt;Inicio!$C$24*1.5,"EXCESO","SANO"))))))</f>
        <v/>
      </c>
      <c r="O121" s="74">
        <f>IF($M121="","",IF($J121="","",IF($J121&gt;2*$M121,"ENVIAR a otra tienda",IF($J121&lt;0.5*$M121,"PEDIR traslado","—"))))</f>
        <v/>
      </c>
    </row>
    <row r="122" ht="15" customHeight="1" s="47">
      <c r="A122" s="182" t="inlineStr">
        <is>
          <t>T03</t>
        </is>
      </c>
      <c r="B122" s="182" t="inlineStr">
        <is>
          <t>EL-027</t>
        </is>
      </c>
      <c r="C122" s="59">
        <f>IFERROR(INDEX(Productos!$B$5:$B$124,MATCH($B122,Productos!$A$5:$A$124,0)),"")</f>
        <v/>
      </c>
      <c r="D122" s="59">
        <f>IFERROR(INDEX(Productos!$D$5:$D$124,MATCH($B122,Productos!$A$5:$A$124,0)),"")</f>
        <v/>
      </c>
      <c r="E122" s="186" t="n">
        <v>4</v>
      </c>
      <c r="F122" s="70">
        <f>IF($B122="",0,SUMIFS(Ventas!$F$5:$F$504,Ventas!$B$5:$B$504,$A122,Ventas!$C$5:$C$504,$B122))</f>
        <v/>
      </c>
      <c r="G122" s="71">
        <f>IF($B122="",0,SUMIFS(Ventas!$L$5:$L$504,Ventas!$B$5:$B$504,$A122,Ventas!$C$5:$C$504,$B122))</f>
        <v/>
      </c>
      <c r="H122" s="71">
        <f>IF($B122="",0,SUMIFS(Ventas!$P$5:$P$504,Ventas!$B$5:$B$504,$A122,Ventas!$C$5:$C$504,$B122))</f>
        <v/>
      </c>
      <c r="I122" s="72">
        <f>IF($F122=0,0,$F122/Inicio!$C$22)</f>
        <v/>
      </c>
      <c r="J122" s="73">
        <f>IF($I122=0,"",ROUND($E122/$I122,0))</f>
        <v/>
      </c>
      <c r="K122" s="71">
        <f>IF($B122="",0,$E122*IFERROR(INDEX(Productos!$G$5:$G$124,MATCH($B122,Productos!$A$5:$A$124,0)),0))</f>
        <v/>
      </c>
      <c r="L122" s="71">
        <f>IF($K122=0,0,$K122*Inicio!$C$25/365*Inicio!$C$22)</f>
        <v/>
      </c>
      <c r="M122" s="73">
        <f>IF($B122="","",IF(SUMIF($B$5:$B$304,$B122,$F$5:$F$304)=0,"",ROUND(SUMIF($B$5:$B$304,$B122,$E$5:$E$304)/(SUMIF($B$5:$B$304,$B122,$F$5:$F$304)/Inicio!$C$22),0)))</f>
        <v/>
      </c>
      <c r="N122" s="74">
        <f>IF($B122="","",IF(AND($E122&lt;=0,$F122&gt;0),"QUIEBRE",IF(AND($F122=0,$E122&gt;0),"SIN ROTACIÓN",IF($J122="","",IF($J122&lt;Inicio!$C$23,"RIESGO DE QUIEBRE",IF($J122&gt;Inicio!$C$24*1.5,"EXCESO","SANO"))))))</f>
        <v/>
      </c>
      <c r="O122" s="74">
        <f>IF($M122="","",IF($J122="","",IF($J122&gt;2*$M122,"ENVIAR a otra tienda",IF($J122&lt;0.5*$M122,"PEDIR traslado","—"))))</f>
        <v/>
      </c>
    </row>
    <row r="123" ht="15" customHeight="1" s="47">
      <c r="A123" s="182" t="inlineStr">
        <is>
          <t>T03</t>
        </is>
      </c>
      <c r="B123" s="182" t="inlineStr">
        <is>
          <t>EL-028</t>
        </is>
      </c>
      <c r="C123" s="59">
        <f>IFERROR(INDEX(Productos!$B$5:$B$124,MATCH($B123,Productos!$A$5:$A$124,0)),"")</f>
        <v/>
      </c>
      <c r="D123" s="59">
        <f>IFERROR(INDEX(Productos!$D$5:$D$124,MATCH($B123,Productos!$A$5:$A$124,0)),"")</f>
        <v/>
      </c>
      <c r="E123" s="186" t="n">
        <v>13</v>
      </c>
      <c r="F123" s="70">
        <f>IF($B123="",0,SUMIFS(Ventas!$F$5:$F$504,Ventas!$B$5:$B$504,$A123,Ventas!$C$5:$C$504,$B123))</f>
        <v/>
      </c>
      <c r="G123" s="71">
        <f>IF($B123="",0,SUMIFS(Ventas!$L$5:$L$504,Ventas!$B$5:$B$504,$A123,Ventas!$C$5:$C$504,$B123))</f>
        <v/>
      </c>
      <c r="H123" s="71">
        <f>IF($B123="",0,SUMIFS(Ventas!$P$5:$P$504,Ventas!$B$5:$B$504,$A123,Ventas!$C$5:$C$504,$B123))</f>
        <v/>
      </c>
      <c r="I123" s="72">
        <f>IF($F123=0,0,$F123/Inicio!$C$22)</f>
        <v/>
      </c>
      <c r="J123" s="73">
        <f>IF($I123=0,"",ROUND($E123/$I123,0))</f>
        <v/>
      </c>
      <c r="K123" s="71">
        <f>IF($B123="",0,$E123*IFERROR(INDEX(Productos!$G$5:$G$124,MATCH($B123,Productos!$A$5:$A$124,0)),0))</f>
        <v/>
      </c>
      <c r="L123" s="71">
        <f>IF($K123=0,0,$K123*Inicio!$C$25/365*Inicio!$C$22)</f>
        <v/>
      </c>
      <c r="M123" s="73">
        <f>IF($B123="","",IF(SUMIF($B$5:$B$304,$B123,$F$5:$F$304)=0,"",ROUND(SUMIF($B$5:$B$304,$B123,$E$5:$E$304)/(SUMIF($B$5:$B$304,$B123,$F$5:$F$304)/Inicio!$C$22),0)))</f>
        <v/>
      </c>
      <c r="N123" s="74">
        <f>IF($B123="","",IF(AND($E123&lt;=0,$F123&gt;0),"QUIEBRE",IF(AND($F123=0,$E123&gt;0),"SIN ROTACIÓN",IF($J123="","",IF($J123&lt;Inicio!$C$23,"RIESGO DE QUIEBRE",IF($J123&gt;Inicio!$C$24*1.5,"EXCESO","SANO"))))))</f>
        <v/>
      </c>
      <c r="O123" s="74">
        <f>IF($M123="","",IF($J123="","",IF($J123&gt;2*$M123,"ENVIAR a otra tienda",IF($J123&lt;0.5*$M123,"PEDIR traslado","—"))))</f>
        <v/>
      </c>
    </row>
    <row r="124" ht="15" customHeight="1" s="47">
      <c r="A124" s="182" t="inlineStr">
        <is>
          <t>T03</t>
        </is>
      </c>
      <c r="B124" s="182" t="inlineStr">
        <is>
          <t>EL-029</t>
        </is>
      </c>
      <c r="C124" s="59">
        <f>IFERROR(INDEX(Productos!$B$5:$B$124,MATCH($B124,Productos!$A$5:$A$124,0)),"")</f>
        <v/>
      </c>
      <c r="D124" s="59">
        <f>IFERROR(INDEX(Productos!$D$5:$D$124,MATCH($B124,Productos!$A$5:$A$124,0)),"")</f>
        <v/>
      </c>
      <c r="E124" s="186" t="n">
        <v>0</v>
      </c>
      <c r="F124" s="70">
        <f>IF($B124="",0,SUMIFS(Ventas!$F$5:$F$504,Ventas!$B$5:$B$504,$A124,Ventas!$C$5:$C$504,$B124))</f>
        <v/>
      </c>
      <c r="G124" s="71">
        <f>IF($B124="",0,SUMIFS(Ventas!$L$5:$L$504,Ventas!$B$5:$B$504,$A124,Ventas!$C$5:$C$504,$B124))</f>
        <v/>
      </c>
      <c r="H124" s="71">
        <f>IF($B124="",0,SUMIFS(Ventas!$P$5:$P$504,Ventas!$B$5:$B$504,$A124,Ventas!$C$5:$C$504,$B124))</f>
        <v/>
      </c>
      <c r="I124" s="72">
        <f>IF($F124=0,0,$F124/Inicio!$C$22)</f>
        <v/>
      </c>
      <c r="J124" s="73">
        <f>IF($I124=0,"",ROUND($E124/$I124,0))</f>
        <v/>
      </c>
      <c r="K124" s="71">
        <f>IF($B124="",0,$E124*IFERROR(INDEX(Productos!$G$5:$G$124,MATCH($B124,Productos!$A$5:$A$124,0)),0))</f>
        <v/>
      </c>
      <c r="L124" s="71">
        <f>IF($K124=0,0,$K124*Inicio!$C$25/365*Inicio!$C$22)</f>
        <v/>
      </c>
      <c r="M124" s="73">
        <f>IF($B124="","",IF(SUMIF($B$5:$B$304,$B124,$F$5:$F$304)=0,"",ROUND(SUMIF($B$5:$B$304,$B124,$E$5:$E$304)/(SUMIF($B$5:$B$304,$B124,$F$5:$F$304)/Inicio!$C$22),0)))</f>
        <v/>
      </c>
      <c r="N124" s="74">
        <f>IF($B124="","",IF(AND($E124&lt;=0,$F124&gt;0),"QUIEBRE",IF(AND($F124=0,$E124&gt;0),"SIN ROTACIÓN",IF($J124="","",IF($J124&lt;Inicio!$C$23,"RIESGO DE QUIEBRE",IF($J124&gt;Inicio!$C$24*1.5,"EXCESO","SANO"))))))</f>
        <v/>
      </c>
      <c r="O124" s="74">
        <f>IF($M124="","",IF($J124="","",IF($J124&gt;2*$M124,"ENVIAR a otra tienda",IF($J124&lt;0.5*$M124,"PEDIR traslado","—"))))</f>
        <v/>
      </c>
    </row>
    <row r="125" ht="15" customHeight="1" s="47">
      <c r="A125" s="182" t="inlineStr">
        <is>
          <t>T03</t>
        </is>
      </c>
      <c r="B125" s="182" t="inlineStr">
        <is>
          <t>EL-030</t>
        </is>
      </c>
      <c r="C125" s="59">
        <f>IFERROR(INDEX(Productos!$B$5:$B$124,MATCH($B125,Productos!$A$5:$A$124,0)),"")</f>
        <v/>
      </c>
      <c r="D125" s="59">
        <f>IFERROR(INDEX(Productos!$D$5:$D$124,MATCH($B125,Productos!$A$5:$A$124,0)),"")</f>
        <v/>
      </c>
      <c r="E125" s="186" t="n">
        <v>5</v>
      </c>
      <c r="F125" s="70">
        <f>IF($B125="",0,SUMIFS(Ventas!$F$5:$F$504,Ventas!$B$5:$B$504,$A125,Ventas!$C$5:$C$504,$B125))</f>
        <v/>
      </c>
      <c r="G125" s="71">
        <f>IF($B125="",0,SUMIFS(Ventas!$L$5:$L$504,Ventas!$B$5:$B$504,$A125,Ventas!$C$5:$C$504,$B125))</f>
        <v/>
      </c>
      <c r="H125" s="71">
        <f>IF($B125="",0,SUMIFS(Ventas!$P$5:$P$504,Ventas!$B$5:$B$504,$A125,Ventas!$C$5:$C$504,$B125))</f>
        <v/>
      </c>
      <c r="I125" s="72">
        <f>IF($F125=0,0,$F125/Inicio!$C$22)</f>
        <v/>
      </c>
      <c r="J125" s="73">
        <f>IF($I125=0,"",ROUND($E125/$I125,0))</f>
        <v/>
      </c>
      <c r="K125" s="71">
        <f>IF($B125="",0,$E125*IFERROR(INDEX(Productos!$G$5:$G$124,MATCH($B125,Productos!$A$5:$A$124,0)),0))</f>
        <v/>
      </c>
      <c r="L125" s="71">
        <f>IF($K125=0,0,$K125*Inicio!$C$25/365*Inicio!$C$22)</f>
        <v/>
      </c>
      <c r="M125" s="73">
        <f>IF($B125="","",IF(SUMIF($B$5:$B$304,$B125,$F$5:$F$304)=0,"",ROUND(SUMIF($B$5:$B$304,$B125,$E$5:$E$304)/(SUMIF($B$5:$B$304,$B125,$F$5:$F$304)/Inicio!$C$22),0)))</f>
        <v/>
      </c>
      <c r="N125" s="74">
        <f>IF($B125="","",IF(AND($E125&lt;=0,$F125&gt;0),"QUIEBRE",IF(AND($F125=0,$E125&gt;0),"SIN ROTACIÓN",IF($J125="","",IF($J125&lt;Inicio!$C$23,"RIESGO DE QUIEBRE",IF($J125&gt;Inicio!$C$24*1.5,"EXCESO","SANO"))))))</f>
        <v/>
      </c>
      <c r="O125" s="74">
        <f>IF($M125="","",IF($J125="","",IF($J125&gt;2*$M125,"ENVIAR a otra tienda",IF($J125&lt;0.5*$M125,"PEDIR traslado","—"))))</f>
        <v/>
      </c>
    </row>
    <row r="126" ht="15" customHeight="1" s="47">
      <c r="A126" s="182" t="inlineStr">
        <is>
          <t>T03</t>
        </is>
      </c>
      <c r="B126" s="182" t="inlineStr">
        <is>
          <t>EL-031</t>
        </is>
      </c>
      <c r="C126" s="59">
        <f>IFERROR(INDEX(Productos!$B$5:$B$124,MATCH($B126,Productos!$A$5:$A$124,0)),"")</f>
        <v/>
      </c>
      <c r="D126" s="59">
        <f>IFERROR(INDEX(Productos!$D$5:$D$124,MATCH($B126,Productos!$A$5:$A$124,0)),"")</f>
        <v/>
      </c>
      <c r="E126" s="186" t="n">
        <v>3</v>
      </c>
      <c r="F126" s="70">
        <f>IF($B126="",0,SUMIFS(Ventas!$F$5:$F$504,Ventas!$B$5:$B$504,$A126,Ventas!$C$5:$C$504,$B126))</f>
        <v/>
      </c>
      <c r="G126" s="71">
        <f>IF($B126="",0,SUMIFS(Ventas!$L$5:$L$504,Ventas!$B$5:$B$504,$A126,Ventas!$C$5:$C$504,$B126))</f>
        <v/>
      </c>
      <c r="H126" s="71">
        <f>IF($B126="",0,SUMIFS(Ventas!$P$5:$P$504,Ventas!$B$5:$B$504,$A126,Ventas!$C$5:$C$504,$B126))</f>
        <v/>
      </c>
      <c r="I126" s="72">
        <f>IF($F126=0,0,$F126/Inicio!$C$22)</f>
        <v/>
      </c>
      <c r="J126" s="73">
        <f>IF($I126=0,"",ROUND($E126/$I126,0))</f>
        <v/>
      </c>
      <c r="K126" s="71">
        <f>IF($B126="",0,$E126*IFERROR(INDEX(Productos!$G$5:$G$124,MATCH($B126,Productos!$A$5:$A$124,0)),0))</f>
        <v/>
      </c>
      <c r="L126" s="71">
        <f>IF($K126=0,0,$K126*Inicio!$C$25/365*Inicio!$C$22)</f>
        <v/>
      </c>
      <c r="M126" s="73">
        <f>IF($B126="","",IF(SUMIF($B$5:$B$304,$B126,$F$5:$F$304)=0,"",ROUND(SUMIF($B$5:$B$304,$B126,$E$5:$E$304)/(SUMIF($B$5:$B$304,$B126,$F$5:$F$304)/Inicio!$C$22),0)))</f>
        <v/>
      </c>
      <c r="N126" s="74">
        <f>IF($B126="","",IF(AND($E126&lt;=0,$F126&gt;0),"QUIEBRE",IF(AND($F126=0,$E126&gt;0),"SIN ROTACIÓN",IF($J126="","",IF($J126&lt;Inicio!$C$23,"RIESGO DE QUIEBRE",IF($J126&gt;Inicio!$C$24*1.5,"EXCESO","SANO"))))))</f>
        <v/>
      </c>
      <c r="O126" s="74">
        <f>IF($M126="","",IF($J126="","",IF($J126&gt;2*$M126,"ENVIAR a otra tienda",IF($J126&lt;0.5*$M126,"PEDIR traslado","—"))))</f>
        <v/>
      </c>
    </row>
    <row r="127" ht="15" customHeight="1" s="47">
      <c r="A127" s="182" t="inlineStr">
        <is>
          <t>T03</t>
        </is>
      </c>
      <c r="B127" s="182" t="inlineStr">
        <is>
          <t>EL-032</t>
        </is>
      </c>
      <c r="C127" s="59">
        <f>IFERROR(INDEX(Productos!$B$5:$B$124,MATCH($B127,Productos!$A$5:$A$124,0)),"")</f>
        <v/>
      </c>
      <c r="D127" s="59">
        <f>IFERROR(INDEX(Productos!$D$5:$D$124,MATCH($B127,Productos!$A$5:$A$124,0)),"")</f>
        <v/>
      </c>
      <c r="E127" s="186" t="n">
        <v>2</v>
      </c>
      <c r="F127" s="70">
        <f>IF($B127="",0,SUMIFS(Ventas!$F$5:$F$504,Ventas!$B$5:$B$504,$A127,Ventas!$C$5:$C$504,$B127))</f>
        <v/>
      </c>
      <c r="G127" s="71">
        <f>IF($B127="",0,SUMIFS(Ventas!$L$5:$L$504,Ventas!$B$5:$B$504,$A127,Ventas!$C$5:$C$504,$B127))</f>
        <v/>
      </c>
      <c r="H127" s="71">
        <f>IF($B127="",0,SUMIFS(Ventas!$P$5:$P$504,Ventas!$B$5:$B$504,$A127,Ventas!$C$5:$C$504,$B127))</f>
        <v/>
      </c>
      <c r="I127" s="72">
        <f>IF($F127=0,0,$F127/Inicio!$C$22)</f>
        <v/>
      </c>
      <c r="J127" s="73">
        <f>IF($I127=0,"",ROUND($E127/$I127,0))</f>
        <v/>
      </c>
      <c r="K127" s="71">
        <f>IF($B127="",0,$E127*IFERROR(INDEX(Productos!$G$5:$G$124,MATCH($B127,Productos!$A$5:$A$124,0)),0))</f>
        <v/>
      </c>
      <c r="L127" s="71">
        <f>IF($K127=0,0,$K127*Inicio!$C$25/365*Inicio!$C$22)</f>
        <v/>
      </c>
      <c r="M127" s="73">
        <f>IF($B127="","",IF(SUMIF($B$5:$B$304,$B127,$F$5:$F$304)=0,"",ROUND(SUMIF($B$5:$B$304,$B127,$E$5:$E$304)/(SUMIF($B$5:$B$304,$B127,$F$5:$F$304)/Inicio!$C$22),0)))</f>
        <v/>
      </c>
      <c r="N127" s="74">
        <f>IF($B127="","",IF(AND($E127&lt;=0,$F127&gt;0),"QUIEBRE",IF(AND($F127=0,$E127&gt;0),"SIN ROTACIÓN",IF($J127="","",IF($J127&lt;Inicio!$C$23,"RIESGO DE QUIEBRE",IF($J127&gt;Inicio!$C$24*1.5,"EXCESO","SANO"))))))</f>
        <v/>
      </c>
      <c r="O127" s="74">
        <f>IF($M127="","",IF($J127="","",IF($J127&gt;2*$M127,"ENVIAR a otra tienda",IF($J127&lt;0.5*$M127,"PEDIR traslado","—"))))</f>
        <v/>
      </c>
    </row>
    <row r="128" ht="15" customHeight="1" s="47">
      <c r="A128" s="182" t="inlineStr">
        <is>
          <t>T03</t>
        </is>
      </c>
      <c r="B128" s="182" t="inlineStr">
        <is>
          <t>EL-033</t>
        </is>
      </c>
      <c r="C128" s="59">
        <f>IFERROR(INDEX(Productos!$B$5:$B$124,MATCH($B128,Productos!$A$5:$A$124,0)),"")</f>
        <v/>
      </c>
      <c r="D128" s="59">
        <f>IFERROR(INDEX(Productos!$D$5:$D$124,MATCH($B128,Productos!$A$5:$A$124,0)),"")</f>
        <v/>
      </c>
      <c r="E128" s="186" t="n">
        <v>0</v>
      </c>
      <c r="F128" s="70">
        <f>IF($B128="",0,SUMIFS(Ventas!$F$5:$F$504,Ventas!$B$5:$B$504,$A128,Ventas!$C$5:$C$504,$B128))</f>
        <v/>
      </c>
      <c r="G128" s="71">
        <f>IF($B128="",0,SUMIFS(Ventas!$L$5:$L$504,Ventas!$B$5:$B$504,$A128,Ventas!$C$5:$C$504,$B128))</f>
        <v/>
      </c>
      <c r="H128" s="71">
        <f>IF($B128="",0,SUMIFS(Ventas!$P$5:$P$504,Ventas!$B$5:$B$504,$A128,Ventas!$C$5:$C$504,$B128))</f>
        <v/>
      </c>
      <c r="I128" s="72">
        <f>IF($F128=0,0,$F128/Inicio!$C$22)</f>
        <v/>
      </c>
      <c r="J128" s="73">
        <f>IF($I128=0,"",ROUND($E128/$I128,0))</f>
        <v/>
      </c>
      <c r="K128" s="71">
        <f>IF($B128="",0,$E128*IFERROR(INDEX(Productos!$G$5:$G$124,MATCH($B128,Productos!$A$5:$A$124,0)),0))</f>
        <v/>
      </c>
      <c r="L128" s="71">
        <f>IF($K128=0,0,$K128*Inicio!$C$25/365*Inicio!$C$22)</f>
        <v/>
      </c>
      <c r="M128" s="73">
        <f>IF($B128="","",IF(SUMIF($B$5:$B$304,$B128,$F$5:$F$304)=0,"",ROUND(SUMIF($B$5:$B$304,$B128,$E$5:$E$304)/(SUMIF($B$5:$B$304,$B128,$F$5:$F$304)/Inicio!$C$22),0)))</f>
        <v/>
      </c>
      <c r="N128" s="74">
        <f>IF($B128="","",IF(AND($E128&lt;=0,$F128&gt;0),"QUIEBRE",IF(AND($F128=0,$E128&gt;0),"SIN ROTACIÓN",IF($J128="","",IF($J128&lt;Inicio!$C$23,"RIESGO DE QUIEBRE",IF($J128&gt;Inicio!$C$24*1.5,"EXCESO","SANO"))))))</f>
        <v/>
      </c>
      <c r="O128" s="74">
        <f>IF($M128="","",IF($J128="","",IF($J128&gt;2*$M128,"ENVIAR a otra tienda",IF($J128&lt;0.5*$M128,"PEDIR traslado","—"))))</f>
        <v/>
      </c>
    </row>
    <row r="129" ht="15" customHeight="1" s="47">
      <c r="A129" s="182" t="inlineStr">
        <is>
          <t>T03</t>
        </is>
      </c>
      <c r="B129" s="182" t="inlineStr">
        <is>
          <t>EL-034</t>
        </is>
      </c>
      <c r="C129" s="59">
        <f>IFERROR(INDEX(Productos!$B$5:$B$124,MATCH($B129,Productos!$A$5:$A$124,0)),"")</f>
        <v/>
      </c>
      <c r="D129" s="59">
        <f>IFERROR(INDEX(Productos!$D$5:$D$124,MATCH($B129,Productos!$A$5:$A$124,0)),"")</f>
        <v/>
      </c>
      <c r="E129" s="186" t="n">
        <v>2</v>
      </c>
      <c r="F129" s="70">
        <f>IF($B129="",0,SUMIFS(Ventas!$F$5:$F$504,Ventas!$B$5:$B$504,$A129,Ventas!$C$5:$C$504,$B129))</f>
        <v/>
      </c>
      <c r="G129" s="71">
        <f>IF($B129="",0,SUMIFS(Ventas!$L$5:$L$504,Ventas!$B$5:$B$504,$A129,Ventas!$C$5:$C$504,$B129))</f>
        <v/>
      </c>
      <c r="H129" s="71">
        <f>IF($B129="",0,SUMIFS(Ventas!$P$5:$P$504,Ventas!$B$5:$B$504,$A129,Ventas!$C$5:$C$504,$B129))</f>
        <v/>
      </c>
      <c r="I129" s="72">
        <f>IF($F129=0,0,$F129/Inicio!$C$22)</f>
        <v/>
      </c>
      <c r="J129" s="73">
        <f>IF($I129=0,"",ROUND($E129/$I129,0))</f>
        <v/>
      </c>
      <c r="K129" s="71">
        <f>IF($B129="",0,$E129*IFERROR(INDEX(Productos!$G$5:$G$124,MATCH($B129,Productos!$A$5:$A$124,0)),0))</f>
        <v/>
      </c>
      <c r="L129" s="71">
        <f>IF($K129=0,0,$K129*Inicio!$C$25/365*Inicio!$C$22)</f>
        <v/>
      </c>
      <c r="M129" s="73">
        <f>IF($B129="","",IF(SUMIF($B$5:$B$304,$B129,$F$5:$F$304)=0,"",ROUND(SUMIF($B$5:$B$304,$B129,$E$5:$E$304)/(SUMIF($B$5:$B$304,$B129,$F$5:$F$304)/Inicio!$C$22),0)))</f>
        <v/>
      </c>
      <c r="N129" s="74">
        <f>IF($B129="","",IF(AND($E129&lt;=0,$F129&gt;0),"QUIEBRE",IF(AND($F129=0,$E129&gt;0),"SIN ROTACIÓN",IF($J129="","",IF($J129&lt;Inicio!$C$23,"RIESGO DE QUIEBRE",IF($J129&gt;Inicio!$C$24*1.5,"EXCESO","SANO"))))))</f>
        <v/>
      </c>
      <c r="O129" s="74">
        <f>IF($M129="","",IF($J129="","",IF($J129&gt;2*$M129,"ENVIAR a otra tienda",IF($J129&lt;0.5*$M129,"PEDIR traslado","—"))))</f>
        <v/>
      </c>
    </row>
    <row r="130" ht="15" customHeight="1" s="47">
      <c r="A130" s="182" t="inlineStr">
        <is>
          <t>T03</t>
        </is>
      </c>
      <c r="B130" s="182" t="inlineStr">
        <is>
          <t>EL-036</t>
        </is>
      </c>
      <c r="C130" s="59">
        <f>IFERROR(INDEX(Productos!$B$5:$B$124,MATCH($B130,Productos!$A$5:$A$124,0)),"")</f>
        <v/>
      </c>
      <c r="D130" s="59">
        <f>IFERROR(INDEX(Productos!$D$5:$D$124,MATCH($B130,Productos!$A$5:$A$124,0)),"")</f>
        <v/>
      </c>
      <c r="E130" s="186" t="n">
        <v>11</v>
      </c>
      <c r="F130" s="70">
        <f>IF($B130="",0,SUMIFS(Ventas!$F$5:$F$504,Ventas!$B$5:$B$504,$A130,Ventas!$C$5:$C$504,$B130))</f>
        <v/>
      </c>
      <c r="G130" s="71">
        <f>IF($B130="",0,SUMIFS(Ventas!$L$5:$L$504,Ventas!$B$5:$B$504,$A130,Ventas!$C$5:$C$504,$B130))</f>
        <v/>
      </c>
      <c r="H130" s="71">
        <f>IF($B130="",0,SUMIFS(Ventas!$P$5:$P$504,Ventas!$B$5:$B$504,$A130,Ventas!$C$5:$C$504,$B130))</f>
        <v/>
      </c>
      <c r="I130" s="72">
        <f>IF($F130=0,0,$F130/Inicio!$C$22)</f>
        <v/>
      </c>
      <c r="J130" s="73">
        <f>IF($I130=0,"",ROUND($E130/$I130,0))</f>
        <v/>
      </c>
      <c r="K130" s="71">
        <f>IF($B130="",0,$E130*IFERROR(INDEX(Productos!$G$5:$G$124,MATCH($B130,Productos!$A$5:$A$124,0)),0))</f>
        <v/>
      </c>
      <c r="L130" s="71">
        <f>IF($K130=0,0,$K130*Inicio!$C$25/365*Inicio!$C$22)</f>
        <v/>
      </c>
      <c r="M130" s="73">
        <f>IF($B130="","",IF(SUMIF($B$5:$B$304,$B130,$F$5:$F$304)=0,"",ROUND(SUMIF($B$5:$B$304,$B130,$E$5:$E$304)/(SUMIF($B$5:$B$304,$B130,$F$5:$F$304)/Inicio!$C$22),0)))</f>
        <v/>
      </c>
      <c r="N130" s="74">
        <f>IF($B130="","",IF(AND($E130&lt;=0,$F130&gt;0),"QUIEBRE",IF(AND($F130=0,$E130&gt;0),"SIN ROTACIÓN",IF($J130="","",IF($J130&lt;Inicio!$C$23,"RIESGO DE QUIEBRE",IF($J130&gt;Inicio!$C$24*1.5,"EXCESO","SANO"))))))</f>
        <v/>
      </c>
      <c r="O130" s="74">
        <f>IF($M130="","",IF($J130="","",IF($J130&gt;2*$M130,"ENVIAR a otra tienda",IF($J130&lt;0.5*$M130,"PEDIR traslado","—"))))</f>
        <v/>
      </c>
    </row>
    <row r="131" ht="15" customHeight="1" s="47">
      <c r="A131" s="182" t="inlineStr">
        <is>
          <t>T03</t>
        </is>
      </c>
      <c r="B131" s="182" t="inlineStr">
        <is>
          <t>EL-037</t>
        </is>
      </c>
      <c r="C131" s="59">
        <f>IFERROR(INDEX(Productos!$B$5:$B$124,MATCH($B131,Productos!$A$5:$A$124,0)),"")</f>
        <v/>
      </c>
      <c r="D131" s="59">
        <f>IFERROR(INDEX(Productos!$D$5:$D$124,MATCH($B131,Productos!$A$5:$A$124,0)),"")</f>
        <v/>
      </c>
      <c r="E131" s="186" t="n">
        <v>1</v>
      </c>
      <c r="F131" s="70">
        <f>IF($B131="",0,SUMIFS(Ventas!$F$5:$F$504,Ventas!$B$5:$B$504,$A131,Ventas!$C$5:$C$504,$B131))</f>
        <v/>
      </c>
      <c r="G131" s="71">
        <f>IF($B131="",0,SUMIFS(Ventas!$L$5:$L$504,Ventas!$B$5:$B$504,$A131,Ventas!$C$5:$C$504,$B131))</f>
        <v/>
      </c>
      <c r="H131" s="71">
        <f>IF($B131="",0,SUMIFS(Ventas!$P$5:$P$504,Ventas!$B$5:$B$504,$A131,Ventas!$C$5:$C$504,$B131))</f>
        <v/>
      </c>
      <c r="I131" s="72">
        <f>IF($F131=0,0,$F131/Inicio!$C$22)</f>
        <v/>
      </c>
      <c r="J131" s="73">
        <f>IF($I131=0,"",ROUND($E131/$I131,0))</f>
        <v/>
      </c>
      <c r="K131" s="71">
        <f>IF($B131="",0,$E131*IFERROR(INDEX(Productos!$G$5:$G$124,MATCH($B131,Productos!$A$5:$A$124,0)),0))</f>
        <v/>
      </c>
      <c r="L131" s="71">
        <f>IF($K131=0,0,$K131*Inicio!$C$25/365*Inicio!$C$22)</f>
        <v/>
      </c>
      <c r="M131" s="73">
        <f>IF($B131="","",IF(SUMIF($B$5:$B$304,$B131,$F$5:$F$304)=0,"",ROUND(SUMIF($B$5:$B$304,$B131,$E$5:$E$304)/(SUMIF($B$5:$B$304,$B131,$F$5:$F$304)/Inicio!$C$22),0)))</f>
        <v/>
      </c>
      <c r="N131" s="74">
        <f>IF($B131="","",IF(AND($E131&lt;=0,$F131&gt;0),"QUIEBRE",IF(AND($F131=0,$E131&gt;0),"SIN ROTACIÓN",IF($J131="","",IF($J131&lt;Inicio!$C$23,"RIESGO DE QUIEBRE",IF($J131&gt;Inicio!$C$24*1.5,"EXCESO","SANO"))))))</f>
        <v/>
      </c>
      <c r="O131" s="74">
        <f>IF($M131="","",IF($J131="","",IF($J131&gt;2*$M131,"ENVIAR a otra tienda",IF($J131&lt;0.5*$M131,"PEDIR traslado","—"))))</f>
        <v/>
      </c>
    </row>
    <row r="132" ht="15" customHeight="1" s="47">
      <c r="A132" s="182" t="inlineStr">
        <is>
          <t>T03</t>
        </is>
      </c>
      <c r="B132" s="182" t="inlineStr">
        <is>
          <t>EL-038</t>
        </is>
      </c>
      <c r="C132" s="59">
        <f>IFERROR(INDEX(Productos!$B$5:$B$124,MATCH($B132,Productos!$A$5:$A$124,0)),"")</f>
        <v/>
      </c>
      <c r="D132" s="59">
        <f>IFERROR(INDEX(Productos!$D$5:$D$124,MATCH($B132,Productos!$A$5:$A$124,0)),"")</f>
        <v/>
      </c>
      <c r="E132" s="186" t="n">
        <v>13</v>
      </c>
      <c r="F132" s="70">
        <f>IF($B132="",0,SUMIFS(Ventas!$F$5:$F$504,Ventas!$B$5:$B$504,$A132,Ventas!$C$5:$C$504,$B132))</f>
        <v/>
      </c>
      <c r="G132" s="71">
        <f>IF($B132="",0,SUMIFS(Ventas!$L$5:$L$504,Ventas!$B$5:$B$504,$A132,Ventas!$C$5:$C$504,$B132))</f>
        <v/>
      </c>
      <c r="H132" s="71">
        <f>IF($B132="",0,SUMIFS(Ventas!$P$5:$P$504,Ventas!$B$5:$B$504,$A132,Ventas!$C$5:$C$504,$B132))</f>
        <v/>
      </c>
      <c r="I132" s="72">
        <f>IF($F132=0,0,$F132/Inicio!$C$22)</f>
        <v/>
      </c>
      <c r="J132" s="73">
        <f>IF($I132=0,"",ROUND($E132/$I132,0))</f>
        <v/>
      </c>
      <c r="K132" s="71">
        <f>IF($B132="",0,$E132*IFERROR(INDEX(Productos!$G$5:$G$124,MATCH($B132,Productos!$A$5:$A$124,0)),0))</f>
        <v/>
      </c>
      <c r="L132" s="71">
        <f>IF($K132=0,0,$K132*Inicio!$C$25/365*Inicio!$C$22)</f>
        <v/>
      </c>
      <c r="M132" s="73">
        <f>IF($B132="","",IF(SUMIF($B$5:$B$304,$B132,$F$5:$F$304)=0,"",ROUND(SUMIF($B$5:$B$304,$B132,$E$5:$E$304)/(SUMIF($B$5:$B$304,$B132,$F$5:$F$304)/Inicio!$C$22),0)))</f>
        <v/>
      </c>
      <c r="N132" s="74">
        <f>IF($B132="","",IF(AND($E132&lt;=0,$F132&gt;0),"QUIEBRE",IF(AND($F132=0,$E132&gt;0),"SIN ROTACIÓN",IF($J132="","",IF($J132&lt;Inicio!$C$23,"RIESGO DE QUIEBRE",IF($J132&gt;Inicio!$C$24*1.5,"EXCESO","SANO"))))))</f>
        <v/>
      </c>
      <c r="O132" s="74">
        <f>IF($M132="","",IF($J132="","",IF($J132&gt;2*$M132,"ENVIAR a otra tienda",IF($J132&lt;0.5*$M132,"PEDIR traslado","—"))))</f>
        <v/>
      </c>
    </row>
    <row r="133" ht="15" customHeight="1" s="47">
      <c r="A133" s="182" t="inlineStr">
        <is>
          <t>T03</t>
        </is>
      </c>
      <c r="B133" s="182" t="inlineStr">
        <is>
          <t>EL-039</t>
        </is>
      </c>
      <c r="C133" s="59">
        <f>IFERROR(INDEX(Productos!$B$5:$B$124,MATCH($B133,Productos!$A$5:$A$124,0)),"")</f>
        <v/>
      </c>
      <c r="D133" s="59">
        <f>IFERROR(INDEX(Productos!$D$5:$D$124,MATCH($B133,Productos!$A$5:$A$124,0)),"")</f>
        <v/>
      </c>
      <c r="E133" s="186" t="n">
        <v>6</v>
      </c>
      <c r="F133" s="70">
        <f>IF($B133="",0,SUMIFS(Ventas!$F$5:$F$504,Ventas!$B$5:$B$504,$A133,Ventas!$C$5:$C$504,$B133))</f>
        <v/>
      </c>
      <c r="G133" s="71">
        <f>IF($B133="",0,SUMIFS(Ventas!$L$5:$L$504,Ventas!$B$5:$B$504,$A133,Ventas!$C$5:$C$504,$B133))</f>
        <v/>
      </c>
      <c r="H133" s="71">
        <f>IF($B133="",0,SUMIFS(Ventas!$P$5:$P$504,Ventas!$B$5:$B$504,$A133,Ventas!$C$5:$C$504,$B133))</f>
        <v/>
      </c>
      <c r="I133" s="72">
        <f>IF($F133=0,0,$F133/Inicio!$C$22)</f>
        <v/>
      </c>
      <c r="J133" s="73">
        <f>IF($I133=0,"",ROUND($E133/$I133,0))</f>
        <v/>
      </c>
      <c r="K133" s="71">
        <f>IF($B133="",0,$E133*IFERROR(INDEX(Productos!$G$5:$G$124,MATCH($B133,Productos!$A$5:$A$124,0)),0))</f>
        <v/>
      </c>
      <c r="L133" s="71">
        <f>IF($K133=0,0,$K133*Inicio!$C$25/365*Inicio!$C$22)</f>
        <v/>
      </c>
      <c r="M133" s="73">
        <f>IF($B133="","",IF(SUMIF($B$5:$B$304,$B133,$F$5:$F$304)=0,"",ROUND(SUMIF($B$5:$B$304,$B133,$E$5:$E$304)/(SUMIF($B$5:$B$304,$B133,$F$5:$F$304)/Inicio!$C$22),0)))</f>
        <v/>
      </c>
      <c r="N133" s="74">
        <f>IF($B133="","",IF(AND($E133&lt;=0,$F133&gt;0),"QUIEBRE",IF(AND($F133=0,$E133&gt;0),"SIN ROTACIÓN",IF($J133="","",IF($J133&lt;Inicio!$C$23,"RIESGO DE QUIEBRE",IF($J133&gt;Inicio!$C$24*1.5,"EXCESO","SANO"))))))</f>
        <v/>
      </c>
      <c r="O133" s="74">
        <f>IF($M133="","",IF($J133="","",IF($J133&gt;2*$M133,"ENVIAR a otra tienda",IF($J133&lt;0.5*$M133,"PEDIR traslado","—"))))</f>
        <v/>
      </c>
    </row>
    <row r="134" ht="15" customHeight="1" s="47">
      <c r="A134" s="182" t="inlineStr">
        <is>
          <t>T03</t>
        </is>
      </c>
      <c r="B134" s="182" t="inlineStr">
        <is>
          <t>EL-040</t>
        </is>
      </c>
      <c r="C134" s="59">
        <f>IFERROR(INDEX(Productos!$B$5:$B$124,MATCH($B134,Productos!$A$5:$A$124,0)),"")</f>
        <v/>
      </c>
      <c r="D134" s="59">
        <f>IFERROR(INDEX(Productos!$D$5:$D$124,MATCH($B134,Productos!$A$5:$A$124,0)),"")</f>
        <v/>
      </c>
      <c r="E134" s="186" t="n">
        <v>4</v>
      </c>
      <c r="F134" s="70">
        <f>IF($B134="",0,SUMIFS(Ventas!$F$5:$F$504,Ventas!$B$5:$B$504,$A134,Ventas!$C$5:$C$504,$B134))</f>
        <v/>
      </c>
      <c r="G134" s="71">
        <f>IF($B134="",0,SUMIFS(Ventas!$L$5:$L$504,Ventas!$B$5:$B$504,$A134,Ventas!$C$5:$C$504,$B134))</f>
        <v/>
      </c>
      <c r="H134" s="71">
        <f>IF($B134="",0,SUMIFS(Ventas!$P$5:$P$504,Ventas!$B$5:$B$504,$A134,Ventas!$C$5:$C$504,$B134))</f>
        <v/>
      </c>
      <c r="I134" s="72">
        <f>IF($F134=0,0,$F134/Inicio!$C$22)</f>
        <v/>
      </c>
      <c r="J134" s="73">
        <f>IF($I134=0,"",ROUND($E134/$I134,0))</f>
        <v/>
      </c>
      <c r="K134" s="71">
        <f>IF($B134="",0,$E134*IFERROR(INDEX(Productos!$G$5:$G$124,MATCH($B134,Productos!$A$5:$A$124,0)),0))</f>
        <v/>
      </c>
      <c r="L134" s="71">
        <f>IF($K134=0,0,$K134*Inicio!$C$25/365*Inicio!$C$22)</f>
        <v/>
      </c>
      <c r="M134" s="73">
        <f>IF($B134="","",IF(SUMIF($B$5:$B$304,$B134,$F$5:$F$304)=0,"",ROUND(SUMIF($B$5:$B$304,$B134,$E$5:$E$304)/(SUMIF($B$5:$B$304,$B134,$F$5:$F$304)/Inicio!$C$22),0)))</f>
        <v/>
      </c>
      <c r="N134" s="74">
        <f>IF($B134="","",IF(AND($E134&lt;=0,$F134&gt;0),"QUIEBRE",IF(AND($F134=0,$E134&gt;0),"SIN ROTACIÓN",IF($J134="","",IF($J134&lt;Inicio!$C$23,"RIESGO DE QUIEBRE",IF($J134&gt;Inicio!$C$24*1.5,"EXCESO","SANO"))))))</f>
        <v/>
      </c>
      <c r="O134" s="74">
        <f>IF($M134="","",IF($J134="","",IF($J134&gt;2*$M134,"ENVIAR a otra tienda",IF($J134&lt;0.5*$M134,"PEDIR traslado","—"))))</f>
        <v/>
      </c>
    </row>
    <row r="135" ht="15" customHeight="1" s="47">
      <c r="A135" s="182" t="inlineStr">
        <is>
          <t>T03</t>
        </is>
      </c>
      <c r="B135" s="182" t="inlineStr">
        <is>
          <t>EL-041</t>
        </is>
      </c>
      <c r="C135" s="59">
        <f>IFERROR(INDEX(Productos!$B$5:$B$124,MATCH($B135,Productos!$A$5:$A$124,0)),"")</f>
        <v/>
      </c>
      <c r="D135" s="59">
        <f>IFERROR(INDEX(Productos!$D$5:$D$124,MATCH($B135,Productos!$A$5:$A$124,0)),"")</f>
        <v/>
      </c>
      <c r="E135" s="186" t="n">
        <v>2</v>
      </c>
      <c r="F135" s="70">
        <f>IF($B135="",0,SUMIFS(Ventas!$F$5:$F$504,Ventas!$B$5:$B$504,$A135,Ventas!$C$5:$C$504,$B135))</f>
        <v/>
      </c>
      <c r="G135" s="71">
        <f>IF($B135="",0,SUMIFS(Ventas!$L$5:$L$504,Ventas!$B$5:$B$504,$A135,Ventas!$C$5:$C$504,$B135))</f>
        <v/>
      </c>
      <c r="H135" s="71">
        <f>IF($B135="",0,SUMIFS(Ventas!$P$5:$P$504,Ventas!$B$5:$B$504,$A135,Ventas!$C$5:$C$504,$B135))</f>
        <v/>
      </c>
      <c r="I135" s="72">
        <f>IF($F135=0,0,$F135/Inicio!$C$22)</f>
        <v/>
      </c>
      <c r="J135" s="73">
        <f>IF($I135=0,"",ROUND($E135/$I135,0))</f>
        <v/>
      </c>
      <c r="K135" s="71">
        <f>IF($B135="",0,$E135*IFERROR(INDEX(Productos!$G$5:$G$124,MATCH($B135,Productos!$A$5:$A$124,0)),0))</f>
        <v/>
      </c>
      <c r="L135" s="71">
        <f>IF($K135=0,0,$K135*Inicio!$C$25/365*Inicio!$C$22)</f>
        <v/>
      </c>
      <c r="M135" s="73">
        <f>IF($B135="","",IF(SUMIF($B$5:$B$304,$B135,$F$5:$F$304)=0,"",ROUND(SUMIF($B$5:$B$304,$B135,$E$5:$E$304)/(SUMIF($B$5:$B$304,$B135,$F$5:$F$304)/Inicio!$C$22),0)))</f>
        <v/>
      </c>
      <c r="N135" s="74">
        <f>IF($B135="","",IF(AND($E135&lt;=0,$F135&gt;0),"QUIEBRE",IF(AND($F135=0,$E135&gt;0),"SIN ROTACIÓN",IF($J135="","",IF($J135&lt;Inicio!$C$23,"RIESGO DE QUIEBRE",IF($J135&gt;Inicio!$C$24*1.5,"EXCESO","SANO"))))))</f>
        <v/>
      </c>
      <c r="O135" s="74">
        <f>IF($M135="","",IF($J135="","",IF($J135&gt;2*$M135,"ENVIAR a otra tienda",IF($J135&lt;0.5*$M135,"PEDIR traslado","—"))))</f>
        <v/>
      </c>
    </row>
    <row r="136" ht="15" customHeight="1" s="47">
      <c r="A136" s="182" t="inlineStr">
        <is>
          <t>T03</t>
        </is>
      </c>
      <c r="B136" s="182" t="inlineStr">
        <is>
          <t>EL-042</t>
        </is>
      </c>
      <c r="C136" s="59">
        <f>IFERROR(INDEX(Productos!$B$5:$B$124,MATCH($B136,Productos!$A$5:$A$124,0)),"")</f>
        <v/>
      </c>
      <c r="D136" s="59">
        <f>IFERROR(INDEX(Productos!$D$5:$D$124,MATCH($B136,Productos!$A$5:$A$124,0)),"")</f>
        <v/>
      </c>
      <c r="E136" s="186" t="n">
        <v>1</v>
      </c>
      <c r="F136" s="70">
        <f>IF($B136="",0,SUMIFS(Ventas!$F$5:$F$504,Ventas!$B$5:$B$504,$A136,Ventas!$C$5:$C$504,$B136))</f>
        <v/>
      </c>
      <c r="G136" s="71">
        <f>IF($B136="",0,SUMIFS(Ventas!$L$5:$L$504,Ventas!$B$5:$B$504,$A136,Ventas!$C$5:$C$504,$B136))</f>
        <v/>
      </c>
      <c r="H136" s="71">
        <f>IF($B136="",0,SUMIFS(Ventas!$P$5:$P$504,Ventas!$B$5:$B$504,$A136,Ventas!$C$5:$C$504,$B136))</f>
        <v/>
      </c>
      <c r="I136" s="72">
        <f>IF($F136=0,0,$F136/Inicio!$C$22)</f>
        <v/>
      </c>
      <c r="J136" s="73">
        <f>IF($I136=0,"",ROUND($E136/$I136,0))</f>
        <v/>
      </c>
      <c r="K136" s="71">
        <f>IF($B136="",0,$E136*IFERROR(INDEX(Productos!$G$5:$G$124,MATCH($B136,Productos!$A$5:$A$124,0)),0))</f>
        <v/>
      </c>
      <c r="L136" s="71">
        <f>IF($K136=0,0,$K136*Inicio!$C$25/365*Inicio!$C$22)</f>
        <v/>
      </c>
      <c r="M136" s="73">
        <f>IF($B136="","",IF(SUMIF($B$5:$B$304,$B136,$F$5:$F$304)=0,"",ROUND(SUMIF($B$5:$B$304,$B136,$E$5:$E$304)/(SUMIF($B$5:$B$304,$B136,$F$5:$F$304)/Inicio!$C$22),0)))</f>
        <v/>
      </c>
      <c r="N136" s="74">
        <f>IF($B136="","",IF(AND($E136&lt;=0,$F136&gt;0),"QUIEBRE",IF(AND($F136=0,$E136&gt;0),"SIN ROTACIÓN",IF($J136="","",IF($J136&lt;Inicio!$C$23,"RIESGO DE QUIEBRE",IF($J136&gt;Inicio!$C$24*1.5,"EXCESO","SANO"))))))</f>
        <v/>
      </c>
      <c r="O136" s="74">
        <f>IF($M136="","",IF($J136="","",IF($J136&gt;2*$M136,"ENVIAR a otra tienda",IF($J136&lt;0.5*$M136,"PEDIR traslado","—"))))</f>
        <v/>
      </c>
    </row>
    <row r="137" ht="15" customHeight="1" s="47">
      <c r="A137" s="182" t="inlineStr">
        <is>
          <t>T03</t>
        </is>
      </c>
      <c r="B137" s="182" t="inlineStr">
        <is>
          <t>EL-043</t>
        </is>
      </c>
      <c r="C137" s="59">
        <f>IFERROR(INDEX(Productos!$B$5:$B$124,MATCH($B137,Productos!$A$5:$A$124,0)),"")</f>
        <v/>
      </c>
      <c r="D137" s="59">
        <f>IFERROR(INDEX(Productos!$D$5:$D$124,MATCH($B137,Productos!$A$5:$A$124,0)),"")</f>
        <v/>
      </c>
      <c r="E137" s="186" t="n">
        <v>1</v>
      </c>
      <c r="F137" s="70">
        <f>IF($B137="",0,SUMIFS(Ventas!$F$5:$F$504,Ventas!$B$5:$B$504,$A137,Ventas!$C$5:$C$504,$B137))</f>
        <v/>
      </c>
      <c r="G137" s="71">
        <f>IF($B137="",0,SUMIFS(Ventas!$L$5:$L$504,Ventas!$B$5:$B$504,$A137,Ventas!$C$5:$C$504,$B137))</f>
        <v/>
      </c>
      <c r="H137" s="71">
        <f>IF($B137="",0,SUMIFS(Ventas!$P$5:$P$504,Ventas!$B$5:$B$504,$A137,Ventas!$C$5:$C$504,$B137))</f>
        <v/>
      </c>
      <c r="I137" s="72">
        <f>IF($F137=0,0,$F137/Inicio!$C$22)</f>
        <v/>
      </c>
      <c r="J137" s="73">
        <f>IF($I137=0,"",ROUND($E137/$I137,0))</f>
        <v/>
      </c>
      <c r="K137" s="71">
        <f>IF($B137="",0,$E137*IFERROR(INDEX(Productos!$G$5:$G$124,MATCH($B137,Productos!$A$5:$A$124,0)),0))</f>
        <v/>
      </c>
      <c r="L137" s="71">
        <f>IF($K137=0,0,$K137*Inicio!$C$25/365*Inicio!$C$22)</f>
        <v/>
      </c>
      <c r="M137" s="73">
        <f>IF($B137="","",IF(SUMIF($B$5:$B$304,$B137,$F$5:$F$304)=0,"",ROUND(SUMIF($B$5:$B$304,$B137,$E$5:$E$304)/(SUMIF($B$5:$B$304,$B137,$F$5:$F$304)/Inicio!$C$22),0)))</f>
        <v/>
      </c>
      <c r="N137" s="74">
        <f>IF($B137="","",IF(AND($E137&lt;=0,$F137&gt;0),"QUIEBRE",IF(AND($F137=0,$E137&gt;0),"SIN ROTACIÓN",IF($J137="","",IF($J137&lt;Inicio!$C$23,"RIESGO DE QUIEBRE",IF($J137&gt;Inicio!$C$24*1.5,"EXCESO","SANO"))))))</f>
        <v/>
      </c>
      <c r="O137" s="74">
        <f>IF($M137="","",IF($J137="","",IF($J137&gt;2*$M137,"ENVIAR a otra tienda",IF($J137&lt;0.5*$M137,"PEDIR traslado","—"))))</f>
        <v/>
      </c>
    </row>
    <row r="138" ht="15" customHeight="1" s="47">
      <c r="A138" s="182" t="inlineStr">
        <is>
          <t>T03</t>
        </is>
      </c>
      <c r="B138" s="182" t="inlineStr">
        <is>
          <t>EL-044</t>
        </is>
      </c>
      <c r="C138" s="59">
        <f>IFERROR(INDEX(Productos!$B$5:$B$124,MATCH($B138,Productos!$A$5:$A$124,0)),"")</f>
        <v/>
      </c>
      <c r="D138" s="59">
        <f>IFERROR(INDEX(Productos!$D$5:$D$124,MATCH($B138,Productos!$A$5:$A$124,0)),"")</f>
        <v/>
      </c>
      <c r="E138" s="186" t="n">
        <v>12</v>
      </c>
      <c r="F138" s="70">
        <f>IF($B138="",0,SUMIFS(Ventas!$F$5:$F$504,Ventas!$B$5:$B$504,$A138,Ventas!$C$5:$C$504,$B138))</f>
        <v/>
      </c>
      <c r="G138" s="71">
        <f>IF($B138="",0,SUMIFS(Ventas!$L$5:$L$504,Ventas!$B$5:$B$504,$A138,Ventas!$C$5:$C$504,$B138))</f>
        <v/>
      </c>
      <c r="H138" s="71">
        <f>IF($B138="",0,SUMIFS(Ventas!$P$5:$P$504,Ventas!$B$5:$B$504,$A138,Ventas!$C$5:$C$504,$B138))</f>
        <v/>
      </c>
      <c r="I138" s="72">
        <f>IF($F138=0,0,$F138/Inicio!$C$22)</f>
        <v/>
      </c>
      <c r="J138" s="73">
        <f>IF($I138=0,"",ROUND($E138/$I138,0))</f>
        <v/>
      </c>
      <c r="K138" s="71">
        <f>IF($B138="",0,$E138*IFERROR(INDEX(Productos!$G$5:$G$124,MATCH($B138,Productos!$A$5:$A$124,0)),0))</f>
        <v/>
      </c>
      <c r="L138" s="71">
        <f>IF($K138=0,0,$K138*Inicio!$C$25/365*Inicio!$C$22)</f>
        <v/>
      </c>
      <c r="M138" s="73">
        <f>IF($B138="","",IF(SUMIF($B$5:$B$304,$B138,$F$5:$F$304)=0,"",ROUND(SUMIF($B$5:$B$304,$B138,$E$5:$E$304)/(SUMIF($B$5:$B$304,$B138,$F$5:$F$304)/Inicio!$C$22),0)))</f>
        <v/>
      </c>
      <c r="N138" s="74">
        <f>IF($B138="","",IF(AND($E138&lt;=0,$F138&gt;0),"QUIEBRE",IF(AND($F138=0,$E138&gt;0),"SIN ROTACIÓN",IF($J138="","",IF($J138&lt;Inicio!$C$23,"RIESGO DE QUIEBRE",IF($J138&gt;Inicio!$C$24*1.5,"EXCESO","SANO"))))))</f>
        <v/>
      </c>
      <c r="O138" s="74">
        <f>IF($M138="","",IF($J138="","",IF($J138&gt;2*$M138,"ENVIAR a otra tienda",IF($J138&lt;0.5*$M138,"PEDIR traslado","—"))))</f>
        <v/>
      </c>
    </row>
    <row r="139" ht="15" customHeight="1" s="47">
      <c r="A139" s="182" t="inlineStr">
        <is>
          <t>T03</t>
        </is>
      </c>
      <c r="B139" s="182" t="inlineStr">
        <is>
          <t>EL-046</t>
        </is>
      </c>
      <c r="C139" s="59">
        <f>IFERROR(INDEX(Productos!$B$5:$B$124,MATCH($B139,Productos!$A$5:$A$124,0)),"")</f>
        <v/>
      </c>
      <c r="D139" s="59">
        <f>IFERROR(INDEX(Productos!$D$5:$D$124,MATCH($B139,Productos!$A$5:$A$124,0)),"")</f>
        <v/>
      </c>
      <c r="E139" s="186" t="n">
        <v>24</v>
      </c>
      <c r="F139" s="70">
        <f>IF($B139="",0,SUMIFS(Ventas!$F$5:$F$504,Ventas!$B$5:$B$504,$A139,Ventas!$C$5:$C$504,$B139))</f>
        <v/>
      </c>
      <c r="G139" s="71">
        <f>IF($B139="",0,SUMIFS(Ventas!$L$5:$L$504,Ventas!$B$5:$B$504,$A139,Ventas!$C$5:$C$504,$B139))</f>
        <v/>
      </c>
      <c r="H139" s="71">
        <f>IF($B139="",0,SUMIFS(Ventas!$P$5:$P$504,Ventas!$B$5:$B$504,$A139,Ventas!$C$5:$C$504,$B139))</f>
        <v/>
      </c>
      <c r="I139" s="72">
        <f>IF($F139=0,0,$F139/Inicio!$C$22)</f>
        <v/>
      </c>
      <c r="J139" s="73">
        <f>IF($I139=0,"",ROUND($E139/$I139,0))</f>
        <v/>
      </c>
      <c r="K139" s="71">
        <f>IF($B139="",0,$E139*IFERROR(INDEX(Productos!$G$5:$G$124,MATCH($B139,Productos!$A$5:$A$124,0)),0))</f>
        <v/>
      </c>
      <c r="L139" s="71">
        <f>IF($K139=0,0,$K139*Inicio!$C$25/365*Inicio!$C$22)</f>
        <v/>
      </c>
      <c r="M139" s="73">
        <f>IF($B139="","",IF(SUMIF($B$5:$B$304,$B139,$F$5:$F$304)=0,"",ROUND(SUMIF($B$5:$B$304,$B139,$E$5:$E$304)/(SUMIF($B$5:$B$304,$B139,$F$5:$F$304)/Inicio!$C$22),0)))</f>
        <v/>
      </c>
      <c r="N139" s="74">
        <f>IF($B139="","",IF(AND($E139&lt;=0,$F139&gt;0),"QUIEBRE",IF(AND($F139=0,$E139&gt;0),"SIN ROTACIÓN",IF($J139="","",IF($J139&lt;Inicio!$C$23,"RIESGO DE QUIEBRE",IF($J139&gt;Inicio!$C$24*1.5,"EXCESO","SANO"))))))</f>
        <v/>
      </c>
      <c r="O139" s="74">
        <f>IF($M139="","",IF($J139="","",IF($J139&gt;2*$M139,"ENVIAR a otra tienda",IF($J139&lt;0.5*$M139,"PEDIR traslado","—"))))</f>
        <v/>
      </c>
    </row>
    <row r="140" ht="15" customHeight="1" s="47">
      <c r="A140" s="182" t="inlineStr">
        <is>
          <t>T03</t>
        </is>
      </c>
      <c r="B140" s="182" t="inlineStr">
        <is>
          <t>EL-048</t>
        </is>
      </c>
      <c r="C140" s="59">
        <f>IFERROR(INDEX(Productos!$B$5:$B$124,MATCH($B140,Productos!$A$5:$A$124,0)),"")</f>
        <v/>
      </c>
      <c r="D140" s="59">
        <f>IFERROR(INDEX(Productos!$D$5:$D$124,MATCH($B140,Productos!$A$5:$A$124,0)),"")</f>
        <v/>
      </c>
      <c r="E140" s="186" t="n">
        <v>2</v>
      </c>
      <c r="F140" s="70">
        <f>IF($B140="",0,SUMIFS(Ventas!$F$5:$F$504,Ventas!$B$5:$B$504,$A140,Ventas!$C$5:$C$504,$B140))</f>
        <v/>
      </c>
      <c r="G140" s="71">
        <f>IF($B140="",0,SUMIFS(Ventas!$L$5:$L$504,Ventas!$B$5:$B$504,$A140,Ventas!$C$5:$C$504,$B140))</f>
        <v/>
      </c>
      <c r="H140" s="71">
        <f>IF($B140="",0,SUMIFS(Ventas!$P$5:$P$504,Ventas!$B$5:$B$504,$A140,Ventas!$C$5:$C$504,$B140))</f>
        <v/>
      </c>
      <c r="I140" s="72">
        <f>IF($F140=0,0,$F140/Inicio!$C$22)</f>
        <v/>
      </c>
      <c r="J140" s="73">
        <f>IF($I140=0,"",ROUND($E140/$I140,0))</f>
        <v/>
      </c>
      <c r="K140" s="71">
        <f>IF($B140="",0,$E140*IFERROR(INDEX(Productos!$G$5:$G$124,MATCH($B140,Productos!$A$5:$A$124,0)),0))</f>
        <v/>
      </c>
      <c r="L140" s="71">
        <f>IF($K140=0,0,$K140*Inicio!$C$25/365*Inicio!$C$22)</f>
        <v/>
      </c>
      <c r="M140" s="73">
        <f>IF($B140="","",IF(SUMIF($B$5:$B$304,$B140,$F$5:$F$304)=0,"",ROUND(SUMIF($B$5:$B$304,$B140,$E$5:$E$304)/(SUMIF($B$5:$B$304,$B140,$F$5:$F$304)/Inicio!$C$22),0)))</f>
        <v/>
      </c>
      <c r="N140" s="74">
        <f>IF($B140="","",IF(AND($E140&lt;=0,$F140&gt;0),"QUIEBRE",IF(AND($F140=0,$E140&gt;0),"SIN ROTACIÓN",IF($J140="","",IF($J140&lt;Inicio!$C$23,"RIESGO DE QUIEBRE",IF($J140&gt;Inicio!$C$24*1.5,"EXCESO","SANO"))))))</f>
        <v/>
      </c>
      <c r="O140" s="74">
        <f>IF($M140="","",IF($J140="","",IF($J140&gt;2*$M140,"ENVIAR a otra tienda",IF($J140&lt;0.5*$M140,"PEDIR traslado","—"))))</f>
        <v/>
      </c>
    </row>
    <row r="141" ht="15" customHeight="1" s="47">
      <c r="A141" s="182" t="inlineStr">
        <is>
          <t>T03</t>
        </is>
      </c>
      <c r="B141" s="182" t="inlineStr">
        <is>
          <t>EL-049</t>
        </is>
      </c>
      <c r="C141" s="59">
        <f>IFERROR(INDEX(Productos!$B$5:$B$124,MATCH($B141,Productos!$A$5:$A$124,0)),"")</f>
        <v/>
      </c>
      <c r="D141" s="59">
        <f>IFERROR(INDEX(Productos!$D$5:$D$124,MATCH($B141,Productos!$A$5:$A$124,0)),"")</f>
        <v/>
      </c>
      <c r="E141" s="186" t="n">
        <v>5</v>
      </c>
      <c r="F141" s="70">
        <f>IF($B141="",0,SUMIFS(Ventas!$F$5:$F$504,Ventas!$B$5:$B$504,$A141,Ventas!$C$5:$C$504,$B141))</f>
        <v/>
      </c>
      <c r="G141" s="71">
        <f>IF($B141="",0,SUMIFS(Ventas!$L$5:$L$504,Ventas!$B$5:$B$504,$A141,Ventas!$C$5:$C$504,$B141))</f>
        <v/>
      </c>
      <c r="H141" s="71">
        <f>IF($B141="",0,SUMIFS(Ventas!$P$5:$P$504,Ventas!$B$5:$B$504,$A141,Ventas!$C$5:$C$504,$B141))</f>
        <v/>
      </c>
      <c r="I141" s="72">
        <f>IF($F141=0,0,$F141/Inicio!$C$22)</f>
        <v/>
      </c>
      <c r="J141" s="73">
        <f>IF($I141=0,"",ROUND($E141/$I141,0))</f>
        <v/>
      </c>
      <c r="K141" s="71">
        <f>IF($B141="",0,$E141*IFERROR(INDEX(Productos!$G$5:$G$124,MATCH($B141,Productos!$A$5:$A$124,0)),0))</f>
        <v/>
      </c>
      <c r="L141" s="71">
        <f>IF($K141=0,0,$K141*Inicio!$C$25/365*Inicio!$C$22)</f>
        <v/>
      </c>
      <c r="M141" s="73">
        <f>IF($B141="","",IF(SUMIF($B$5:$B$304,$B141,$F$5:$F$304)=0,"",ROUND(SUMIF($B$5:$B$304,$B141,$E$5:$E$304)/(SUMIF($B$5:$B$304,$B141,$F$5:$F$304)/Inicio!$C$22),0)))</f>
        <v/>
      </c>
      <c r="N141" s="74">
        <f>IF($B141="","",IF(AND($E141&lt;=0,$F141&gt;0),"QUIEBRE",IF(AND($F141=0,$E141&gt;0),"SIN ROTACIÓN",IF($J141="","",IF($J141&lt;Inicio!$C$23,"RIESGO DE QUIEBRE",IF($J141&gt;Inicio!$C$24*1.5,"EXCESO","SANO"))))))</f>
        <v/>
      </c>
      <c r="O141" s="74">
        <f>IF($M141="","",IF($J141="","",IF($J141&gt;2*$M141,"ENVIAR a otra tienda",IF($J141&lt;0.5*$M141,"PEDIR traslado","—"))))</f>
        <v/>
      </c>
    </row>
    <row r="142" ht="15" customHeight="1" s="47">
      <c r="A142" s="182" t="inlineStr">
        <is>
          <t>T03</t>
        </is>
      </c>
      <c r="B142" s="182" t="inlineStr">
        <is>
          <t>EL-050</t>
        </is>
      </c>
      <c r="C142" s="59">
        <f>IFERROR(INDEX(Productos!$B$5:$B$124,MATCH($B142,Productos!$A$5:$A$124,0)),"")</f>
        <v/>
      </c>
      <c r="D142" s="59">
        <f>IFERROR(INDEX(Productos!$D$5:$D$124,MATCH($B142,Productos!$A$5:$A$124,0)),"")</f>
        <v/>
      </c>
      <c r="E142" s="186" t="n">
        <v>2</v>
      </c>
      <c r="F142" s="70">
        <f>IF($B142="",0,SUMIFS(Ventas!$F$5:$F$504,Ventas!$B$5:$B$504,$A142,Ventas!$C$5:$C$504,$B142))</f>
        <v/>
      </c>
      <c r="G142" s="71">
        <f>IF($B142="",0,SUMIFS(Ventas!$L$5:$L$504,Ventas!$B$5:$B$504,$A142,Ventas!$C$5:$C$504,$B142))</f>
        <v/>
      </c>
      <c r="H142" s="71">
        <f>IF($B142="",0,SUMIFS(Ventas!$P$5:$P$504,Ventas!$B$5:$B$504,$A142,Ventas!$C$5:$C$504,$B142))</f>
        <v/>
      </c>
      <c r="I142" s="72">
        <f>IF($F142=0,0,$F142/Inicio!$C$22)</f>
        <v/>
      </c>
      <c r="J142" s="73">
        <f>IF($I142=0,"",ROUND($E142/$I142,0))</f>
        <v/>
      </c>
      <c r="K142" s="71">
        <f>IF($B142="",0,$E142*IFERROR(INDEX(Productos!$G$5:$G$124,MATCH($B142,Productos!$A$5:$A$124,0)),0))</f>
        <v/>
      </c>
      <c r="L142" s="71">
        <f>IF($K142=0,0,$K142*Inicio!$C$25/365*Inicio!$C$22)</f>
        <v/>
      </c>
      <c r="M142" s="73">
        <f>IF($B142="","",IF(SUMIF($B$5:$B$304,$B142,$F$5:$F$304)=0,"",ROUND(SUMIF($B$5:$B$304,$B142,$E$5:$E$304)/(SUMIF($B$5:$B$304,$B142,$F$5:$F$304)/Inicio!$C$22),0)))</f>
        <v/>
      </c>
      <c r="N142" s="74">
        <f>IF($B142="","",IF(AND($E142&lt;=0,$F142&gt;0),"QUIEBRE",IF(AND($F142=0,$E142&gt;0),"SIN ROTACIÓN",IF($J142="","",IF($J142&lt;Inicio!$C$23,"RIESGO DE QUIEBRE",IF($J142&gt;Inicio!$C$24*1.5,"EXCESO","SANO"))))))</f>
        <v/>
      </c>
      <c r="O142" s="74">
        <f>IF($M142="","",IF($J142="","",IF($J142&gt;2*$M142,"ENVIAR a otra tienda",IF($J142&lt;0.5*$M142,"PEDIR traslado","—"))))</f>
        <v/>
      </c>
    </row>
    <row r="143" ht="15" customHeight="1" s="47">
      <c r="A143" s="182" t="inlineStr">
        <is>
          <t>T04</t>
        </is>
      </c>
      <c r="B143" s="182" t="inlineStr">
        <is>
          <t>EL-001</t>
        </is>
      </c>
      <c r="C143" s="59">
        <f>IFERROR(INDEX(Productos!$B$5:$B$124,MATCH($B143,Productos!$A$5:$A$124,0)),"")</f>
        <v/>
      </c>
      <c r="D143" s="59">
        <f>IFERROR(INDEX(Productos!$D$5:$D$124,MATCH($B143,Productos!$A$5:$A$124,0)),"")</f>
        <v/>
      </c>
      <c r="E143" s="186" t="n">
        <v>11</v>
      </c>
      <c r="F143" s="70">
        <f>IF($B143="",0,SUMIFS(Ventas!$F$5:$F$504,Ventas!$B$5:$B$504,$A143,Ventas!$C$5:$C$504,$B143))</f>
        <v/>
      </c>
      <c r="G143" s="71">
        <f>IF($B143="",0,SUMIFS(Ventas!$L$5:$L$504,Ventas!$B$5:$B$504,$A143,Ventas!$C$5:$C$504,$B143))</f>
        <v/>
      </c>
      <c r="H143" s="71">
        <f>IF($B143="",0,SUMIFS(Ventas!$P$5:$P$504,Ventas!$B$5:$B$504,$A143,Ventas!$C$5:$C$504,$B143))</f>
        <v/>
      </c>
      <c r="I143" s="72">
        <f>IF($F143=0,0,$F143/Inicio!$C$22)</f>
        <v/>
      </c>
      <c r="J143" s="73">
        <f>IF($I143=0,"",ROUND($E143/$I143,0))</f>
        <v/>
      </c>
      <c r="K143" s="71">
        <f>IF($B143="",0,$E143*IFERROR(INDEX(Productos!$G$5:$G$124,MATCH($B143,Productos!$A$5:$A$124,0)),0))</f>
        <v/>
      </c>
      <c r="L143" s="71">
        <f>IF($K143=0,0,$K143*Inicio!$C$25/365*Inicio!$C$22)</f>
        <v/>
      </c>
      <c r="M143" s="73">
        <f>IF($B143="","",IF(SUMIF($B$5:$B$304,$B143,$F$5:$F$304)=0,"",ROUND(SUMIF($B$5:$B$304,$B143,$E$5:$E$304)/(SUMIF($B$5:$B$304,$B143,$F$5:$F$304)/Inicio!$C$22),0)))</f>
        <v/>
      </c>
      <c r="N143" s="74">
        <f>IF($B143="","",IF(AND($E143&lt;=0,$F143&gt;0),"QUIEBRE",IF(AND($F143=0,$E143&gt;0),"SIN ROTACIÓN",IF($J143="","",IF($J143&lt;Inicio!$C$23,"RIESGO DE QUIEBRE",IF($J143&gt;Inicio!$C$24*1.5,"EXCESO","SANO"))))))</f>
        <v/>
      </c>
      <c r="O143" s="74">
        <f>IF($M143="","",IF($J143="","",IF($J143&gt;2*$M143,"ENVIAR a otra tienda",IF($J143&lt;0.5*$M143,"PEDIR traslado","—"))))</f>
        <v/>
      </c>
    </row>
    <row r="144" ht="15" customHeight="1" s="47">
      <c r="A144" s="182" t="inlineStr">
        <is>
          <t>T04</t>
        </is>
      </c>
      <c r="B144" s="182" t="inlineStr">
        <is>
          <t>EL-002</t>
        </is>
      </c>
      <c r="C144" s="59">
        <f>IFERROR(INDEX(Productos!$B$5:$B$124,MATCH($B144,Productos!$A$5:$A$124,0)),"")</f>
        <v/>
      </c>
      <c r="D144" s="59">
        <f>IFERROR(INDEX(Productos!$D$5:$D$124,MATCH($B144,Productos!$A$5:$A$124,0)),"")</f>
        <v/>
      </c>
      <c r="E144" s="186" t="n">
        <v>0</v>
      </c>
      <c r="F144" s="70">
        <f>IF($B144="",0,SUMIFS(Ventas!$F$5:$F$504,Ventas!$B$5:$B$504,$A144,Ventas!$C$5:$C$504,$B144))</f>
        <v/>
      </c>
      <c r="G144" s="71">
        <f>IF($B144="",0,SUMIFS(Ventas!$L$5:$L$504,Ventas!$B$5:$B$504,$A144,Ventas!$C$5:$C$504,$B144))</f>
        <v/>
      </c>
      <c r="H144" s="71">
        <f>IF($B144="",0,SUMIFS(Ventas!$P$5:$P$504,Ventas!$B$5:$B$504,$A144,Ventas!$C$5:$C$504,$B144))</f>
        <v/>
      </c>
      <c r="I144" s="72">
        <f>IF($F144=0,0,$F144/Inicio!$C$22)</f>
        <v/>
      </c>
      <c r="J144" s="73">
        <f>IF($I144=0,"",ROUND($E144/$I144,0))</f>
        <v/>
      </c>
      <c r="K144" s="71">
        <f>IF($B144="",0,$E144*IFERROR(INDEX(Productos!$G$5:$G$124,MATCH($B144,Productos!$A$5:$A$124,0)),0))</f>
        <v/>
      </c>
      <c r="L144" s="71">
        <f>IF($K144=0,0,$K144*Inicio!$C$25/365*Inicio!$C$22)</f>
        <v/>
      </c>
      <c r="M144" s="73">
        <f>IF($B144="","",IF(SUMIF($B$5:$B$304,$B144,$F$5:$F$304)=0,"",ROUND(SUMIF($B$5:$B$304,$B144,$E$5:$E$304)/(SUMIF($B$5:$B$304,$B144,$F$5:$F$304)/Inicio!$C$22),0)))</f>
        <v/>
      </c>
      <c r="N144" s="74">
        <f>IF($B144="","",IF(AND($E144&lt;=0,$F144&gt;0),"QUIEBRE",IF(AND($F144=0,$E144&gt;0),"SIN ROTACIÓN",IF($J144="","",IF($J144&lt;Inicio!$C$23,"RIESGO DE QUIEBRE",IF($J144&gt;Inicio!$C$24*1.5,"EXCESO","SANO"))))))</f>
        <v/>
      </c>
      <c r="O144" s="74">
        <f>IF($M144="","",IF($J144="","",IF($J144&gt;2*$M144,"ENVIAR a otra tienda",IF($J144&lt;0.5*$M144,"PEDIR traslado","—"))))</f>
        <v/>
      </c>
    </row>
    <row r="145" ht="15" customHeight="1" s="47">
      <c r="A145" s="182" t="inlineStr">
        <is>
          <t>T04</t>
        </is>
      </c>
      <c r="B145" s="182" t="inlineStr">
        <is>
          <t>EL-003</t>
        </is>
      </c>
      <c r="C145" s="59">
        <f>IFERROR(INDEX(Productos!$B$5:$B$124,MATCH($B145,Productos!$A$5:$A$124,0)),"")</f>
        <v/>
      </c>
      <c r="D145" s="59">
        <f>IFERROR(INDEX(Productos!$D$5:$D$124,MATCH($B145,Productos!$A$5:$A$124,0)),"")</f>
        <v/>
      </c>
      <c r="E145" s="186" t="n">
        <v>1</v>
      </c>
      <c r="F145" s="70">
        <f>IF($B145="",0,SUMIFS(Ventas!$F$5:$F$504,Ventas!$B$5:$B$504,$A145,Ventas!$C$5:$C$504,$B145))</f>
        <v/>
      </c>
      <c r="G145" s="71">
        <f>IF($B145="",0,SUMIFS(Ventas!$L$5:$L$504,Ventas!$B$5:$B$504,$A145,Ventas!$C$5:$C$504,$B145))</f>
        <v/>
      </c>
      <c r="H145" s="71">
        <f>IF($B145="",0,SUMIFS(Ventas!$P$5:$P$504,Ventas!$B$5:$B$504,$A145,Ventas!$C$5:$C$504,$B145))</f>
        <v/>
      </c>
      <c r="I145" s="72">
        <f>IF($F145=0,0,$F145/Inicio!$C$22)</f>
        <v/>
      </c>
      <c r="J145" s="73">
        <f>IF($I145=0,"",ROUND($E145/$I145,0))</f>
        <v/>
      </c>
      <c r="K145" s="71">
        <f>IF($B145="",0,$E145*IFERROR(INDEX(Productos!$G$5:$G$124,MATCH($B145,Productos!$A$5:$A$124,0)),0))</f>
        <v/>
      </c>
      <c r="L145" s="71">
        <f>IF($K145=0,0,$K145*Inicio!$C$25/365*Inicio!$C$22)</f>
        <v/>
      </c>
      <c r="M145" s="73">
        <f>IF($B145="","",IF(SUMIF($B$5:$B$304,$B145,$F$5:$F$304)=0,"",ROUND(SUMIF($B$5:$B$304,$B145,$E$5:$E$304)/(SUMIF($B$5:$B$304,$B145,$F$5:$F$304)/Inicio!$C$22),0)))</f>
        <v/>
      </c>
      <c r="N145" s="74">
        <f>IF($B145="","",IF(AND($E145&lt;=0,$F145&gt;0),"QUIEBRE",IF(AND($F145=0,$E145&gt;0),"SIN ROTACIÓN",IF($J145="","",IF($J145&lt;Inicio!$C$23,"RIESGO DE QUIEBRE",IF($J145&gt;Inicio!$C$24*1.5,"EXCESO","SANO"))))))</f>
        <v/>
      </c>
      <c r="O145" s="74">
        <f>IF($M145="","",IF($J145="","",IF($J145&gt;2*$M145,"ENVIAR a otra tienda",IF($J145&lt;0.5*$M145,"PEDIR traslado","—"))))</f>
        <v/>
      </c>
    </row>
    <row r="146" ht="15" customHeight="1" s="47">
      <c r="A146" s="182" t="inlineStr">
        <is>
          <t>T04</t>
        </is>
      </c>
      <c r="B146" s="182" t="inlineStr">
        <is>
          <t>EL-005</t>
        </is>
      </c>
      <c r="C146" s="59">
        <f>IFERROR(INDEX(Productos!$B$5:$B$124,MATCH($B146,Productos!$A$5:$A$124,0)),"")</f>
        <v/>
      </c>
      <c r="D146" s="59">
        <f>IFERROR(INDEX(Productos!$D$5:$D$124,MATCH($B146,Productos!$A$5:$A$124,0)),"")</f>
        <v/>
      </c>
      <c r="E146" s="186" t="n">
        <v>1</v>
      </c>
      <c r="F146" s="70">
        <f>IF($B146="",0,SUMIFS(Ventas!$F$5:$F$504,Ventas!$B$5:$B$504,$A146,Ventas!$C$5:$C$504,$B146))</f>
        <v/>
      </c>
      <c r="G146" s="71">
        <f>IF($B146="",0,SUMIFS(Ventas!$L$5:$L$504,Ventas!$B$5:$B$504,$A146,Ventas!$C$5:$C$504,$B146))</f>
        <v/>
      </c>
      <c r="H146" s="71">
        <f>IF($B146="",0,SUMIFS(Ventas!$P$5:$P$504,Ventas!$B$5:$B$504,$A146,Ventas!$C$5:$C$504,$B146))</f>
        <v/>
      </c>
      <c r="I146" s="72">
        <f>IF($F146=0,0,$F146/Inicio!$C$22)</f>
        <v/>
      </c>
      <c r="J146" s="73">
        <f>IF($I146=0,"",ROUND($E146/$I146,0))</f>
        <v/>
      </c>
      <c r="K146" s="71">
        <f>IF($B146="",0,$E146*IFERROR(INDEX(Productos!$G$5:$G$124,MATCH($B146,Productos!$A$5:$A$124,0)),0))</f>
        <v/>
      </c>
      <c r="L146" s="71">
        <f>IF($K146=0,0,$K146*Inicio!$C$25/365*Inicio!$C$22)</f>
        <v/>
      </c>
      <c r="M146" s="73">
        <f>IF($B146="","",IF(SUMIF($B$5:$B$304,$B146,$F$5:$F$304)=0,"",ROUND(SUMIF($B$5:$B$304,$B146,$E$5:$E$304)/(SUMIF($B$5:$B$304,$B146,$F$5:$F$304)/Inicio!$C$22),0)))</f>
        <v/>
      </c>
      <c r="N146" s="74">
        <f>IF($B146="","",IF(AND($E146&lt;=0,$F146&gt;0),"QUIEBRE",IF(AND($F146=0,$E146&gt;0),"SIN ROTACIÓN",IF($J146="","",IF($J146&lt;Inicio!$C$23,"RIESGO DE QUIEBRE",IF($J146&gt;Inicio!$C$24*1.5,"EXCESO","SANO"))))))</f>
        <v/>
      </c>
      <c r="O146" s="74">
        <f>IF($M146="","",IF($J146="","",IF($J146&gt;2*$M146,"ENVIAR a otra tienda",IF($J146&lt;0.5*$M146,"PEDIR traslado","—"))))</f>
        <v/>
      </c>
    </row>
    <row r="147" ht="15" customHeight="1" s="47">
      <c r="A147" s="182" t="inlineStr">
        <is>
          <t>T04</t>
        </is>
      </c>
      <c r="B147" s="182" t="inlineStr">
        <is>
          <t>EL-006</t>
        </is>
      </c>
      <c r="C147" s="59">
        <f>IFERROR(INDEX(Productos!$B$5:$B$124,MATCH($B147,Productos!$A$5:$A$124,0)),"")</f>
        <v/>
      </c>
      <c r="D147" s="59">
        <f>IFERROR(INDEX(Productos!$D$5:$D$124,MATCH($B147,Productos!$A$5:$A$124,0)),"")</f>
        <v/>
      </c>
      <c r="E147" s="186" t="n">
        <v>4</v>
      </c>
      <c r="F147" s="70">
        <f>IF($B147="",0,SUMIFS(Ventas!$F$5:$F$504,Ventas!$B$5:$B$504,$A147,Ventas!$C$5:$C$504,$B147))</f>
        <v/>
      </c>
      <c r="G147" s="71">
        <f>IF($B147="",0,SUMIFS(Ventas!$L$5:$L$504,Ventas!$B$5:$B$504,$A147,Ventas!$C$5:$C$504,$B147))</f>
        <v/>
      </c>
      <c r="H147" s="71">
        <f>IF($B147="",0,SUMIFS(Ventas!$P$5:$P$504,Ventas!$B$5:$B$504,$A147,Ventas!$C$5:$C$504,$B147))</f>
        <v/>
      </c>
      <c r="I147" s="72">
        <f>IF($F147=0,0,$F147/Inicio!$C$22)</f>
        <v/>
      </c>
      <c r="J147" s="73">
        <f>IF($I147=0,"",ROUND($E147/$I147,0))</f>
        <v/>
      </c>
      <c r="K147" s="71">
        <f>IF($B147="",0,$E147*IFERROR(INDEX(Productos!$G$5:$G$124,MATCH($B147,Productos!$A$5:$A$124,0)),0))</f>
        <v/>
      </c>
      <c r="L147" s="71">
        <f>IF($K147=0,0,$K147*Inicio!$C$25/365*Inicio!$C$22)</f>
        <v/>
      </c>
      <c r="M147" s="73">
        <f>IF($B147="","",IF(SUMIF($B$5:$B$304,$B147,$F$5:$F$304)=0,"",ROUND(SUMIF($B$5:$B$304,$B147,$E$5:$E$304)/(SUMIF($B$5:$B$304,$B147,$F$5:$F$304)/Inicio!$C$22),0)))</f>
        <v/>
      </c>
      <c r="N147" s="74">
        <f>IF($B147="","",IF(AND($E147&lt;=0,$F147&gt;0),"QUIEBRE",IF(AND($F147=0,$E147&gt;0),"SIN ROTACIÓN",IF($J147="","",IF($J147&lt;Inicio!$C$23,"RIESGO DE QUIEBRE",IF($J147&gt;Inicio!$C$24*1.5,"EXCESO","SANO"))))))</f>
        <v/>
      </c>
      <c r="O147" s="74">
        <f>IF($M147="","",IF($J147="","",IF($J147&gt;2*$M147,"ENVIAR a otra tienda",IF($J147&lt;0.5*$M147,"PEDIR traslado","—"))))</f>
        <v/>
      </c>
    </row>
    <row r="148" ht="15" customHeight="1" s="47">
      <c r="A148" s="182" t="inlineStr">
        <is>
          <t>T04</t>
        </is>
      </c>
      <c r="B148" s="182" t="inlineStr">
        <is>
          <t>EL-007</t>
        </is>
      </c>
      <c r="C148" s="59">
        <f>IFERROR(INDEX(Productos!$B$5:$B$124,MATCH($B148,Productos!$A$5:$A$124,0)),"")</f>
        <v/>
      </c>
      <c r="D148" s="59">
        <f>IFERROR(INDEX(Productos!$D$5:$D$124,MATCH($B148,Productos!$A$5:$A$124,0)),"")</f>
        <v/>
      </c>
      <c r="E148" s="186" t="n">
        <v>4</v>
      </c>
      <c r="F148" s="70">
        <f>IF($B148="",0,SUMIFS(Ventas!$F$5:$F$504,Ventas!$B$5:$B$504,$A148,Ventas!$C$5:$C$504,$B148))</f>
        <v/>
      </c>
      <c r="G148" s="71">
        <f>IF($B148="",0,SUMIFS(Ventas!$L$5:$L$504,Ventas!$B$5:$B$504,$A148,Ventas!$C$5:$C$504,$B148))</f>
        <v/>
      </c>
      <c r="H148" s="71">
        <f>IF($B148="",0,SUMIFS(Ventas!$P$5:$P$504,Ventas!$B$5:$B$504,$A148,Ventas!$C$5:$C$504,$B148))</f>
        <v/>
      </c>
      <c r="I148" s="72">
        <f>IF($F148=0,0,$F148/Inicio!$C$22)</f>
        <v/>
      </c>
      <c r="J148" s="73">
        <f>IF($I148=0,"",ROUND($E148/$I148,0))</f>
        <v/>
      </c>
      <c r="K148" s="71">
        <f>IF($B148="",0,$E148*IFERROR(INDEX(Productos!$G$5:$G$124,MATCH($B148,Productos!$A$5:$A$124,0)),0))</f>
        <v/>
      </c>
      <c r="L148" s="71">
        <f>IF($K148=0,0,$K148*Inicio!$C$25/365*Inicio!$C$22)</f>
        <v/>
      </c>
      <c r="M148" s="73">
        <f>IF($B148="","",IF(SUMIF($B$5:$B$304,$B148,$F$5:$F$304)=0,"",ROUND(SUMIF($B$5:$B$304,$B148,$E$5:$E$304)/(SUMIF($B$5:$B$304,$B148,$F$5:$F$304)/Inicio!$C$22),0)))</f>
        <v/>
      </c>
      <c r="N148" s="74">
        <f>IF($B148="","",IF(AND($E148&lt;=0,$F148&gt;0),"QUIEBRE",IF(AND($F148=0,$E148&gt;0),"SIN ROTACIÓN",IF($J148="","",IF($J148&lt;Inicio!$C$23,"RIESGO DE QUIEBRE",IF($J148&gt;Inicio!$C$24*1.5,"EXCESO","SANO"))))))</f>
        <v/>
      </c>
      <c r="O148" s="74">
        <f>IF($M148="","",IF($J148="","",IF($J148&gt;2*$M148,"ENVIAR a otra tienda",IF($J148&lt;0.5*$M148,"PEDIR traslado","—"))))</f>
        <v/>
      </c>
    </row>
    <row r="149" ht="15" customHeight="1" s="47">
      <c r="A149" s="182" t="inlineStr">
        <is>
          <t>T04</t>
        </is>
      </c>
      <c r="B149" s="182" t="inlineStr">
        <is>
          <t>EL-008</t>
        </is>
      </c>
      <c r="C149" s="59">
        <f>IFERROR(INDEX(Productos!$B$5:$B$124,MATCH($B149,Productos!$A$5:$A$124,0)),"")</f>
        <v/>
      </c>
      <c r="D149" s="59">
        <f>IFERROR(INDEX(Productos!$D$5:$D$124,MATCH($B149,Productos!$A$5:$A$124,0)),"")</f>
        <v/>
      </c>
      <c r="E149" s="186" t="n">
        <v>7</v>
      </c>
      <c r="F149" s="70">
        <f>IF($B149="",0,SUMIFS(Ventas!$F$5:$F$504,Ventas!$B$5:$B$504,$A149,Ventas!$C$5:$C$504,$B149))</f>
        <v/>
      </c>
      <c r="G149" s="71">
        <f>IF($B149="",0,SUMIFS(Ventas!$L$5:$L$504,Ventas!$B$5:$B$504,$A149,Ventas!$C$5:$C$504,$B149))</f>
        <v/>
      </c>
      <c r="H149" s="71">
        <f>IF($B149="",0,SUMIFS(Ventas!$P$5:$P$504,Ventas!$B$5:$B$504,$A149,Ventas!$C$5:$C$504,$B149))</f>
        <v/>
      </c>
      <c r="I149" s="72">
        <f>IF($F149=0,0,$F149/Inicio!$C$22)</f>
        <v/>
      </c>
      <c r="J149" s="73">
        <f>IF($I149=0,"",ROUND($E149/$I149,0))</f>
        <v/>
      </c>
      <c r="K149" s="71">
        <f>IF($B149="",0,$E149*IFERROR(INDEX(Productos!$G$5:$G$124,MATCH($B149,Productos!$A$5:$A$124,0)),0))</f>
        <v/>
      </c>
      <c r="L149" s="71">
        <f>IF($K149=0,0,$K149*Inicio!$C$25/365*Inicio!$C$22)</f>
        <v/>
      </c>
      <c r="M149" s="73">
        <f>IF($B149="","",IF(SUMIF($B$5:$B$304,$B149,$F$5:$F$304)=0,"",ROUND(SUMIF($B$5:$B$304,$B149,$E$5:$E$304)/(SUMIF($B$5:$B$304,$B149,$F$5:$F$304)/Inicio!$C$22),0)))</f>
        <v/>
      </c>
      <c r="N149" s="74">
        <f>IF($B149="","",IF(AND($E149&lt;=0,$F149&gt;0),"QUIEBRE",IF(AND($F149=0,$E149&gt;0),"SIN ROTACIÓN",IF($J149="","",IF($J149&lt;Inicio!$C$23,"RIESGO DE QUIEBRE",IF($J149&gt;Inicio!$C$24*1.5,"EXCESO","SANO"))))))</f>
        <v/>
      </c>
      <c r="O149" s="74">
        <f>IF($M149="","",IF($J149="","",IF($J149&gt;2*$M149,"ENVIAR a otra tienda",IF($J149&lt;0.5*$M149,"PEDIR traslado","—"))))</f>
        <v/>
      </c>
    </row>
    <row r="150" ht="15" customHeight="1" s="47">
      <c r="A150" s="182" t="inlineStr">
        <is>
          <t>T04</t>
        </is>
      </c>
      <c r="B150" s="182" t="inlineStr">
        <is>
          <t>EL-011</t>
        </is>
      </c>
      <c r="C150" s="59">
        <f>IFERROR(INDEX(Productos!$B$5:$B$124,MATCH($B150,Productos!$A$5:$A$124,0)),"")</f>
        <v/>
      </c>
      <c r="D150" s="59">
        <f>IFERROR(INDEX(Productos!$D$5:$D$124,MATCH($B150,Productos!$A$5:$A$124,0)),"")</f>
        <v/>
      </c>
      <c r="E150" s="186" t="n">
        <v>3</v>
      </c>
      <c r="F150" s="70">
        <f>IF($B150="",0,SUMIFS(Ventas!$F$5:$F$504,Ventas!$B$5:$B$504,$A150,Ventas!$C$5:$C$504,$B150))</f>
        <v/>
      </c>
      <c r="G150" s="71">
        <f>IF($B150="",0,SUMIFS(Ventas!$L$5:$L$504,Ventas!$B$5:$B$504,$A150,Ventas!$C$5:$C$504,$B150))</f>
        <v/>
      </c>
      <c r="H150" s="71">
        <f>IF($B150="",0,SUMIFS(Ventas!$P$5:$P$504,Ventas!$B$5:$B$504,$A150,Ventas!$C$5:$C$504,$B150))</f>
        <v/>
      </c>
      <c r="I150" s="72">
        <f>IF($F150=0,0,$F150/Inicio!$C$22)</f>
        <v/>
      </c>
      <c r="J150" s="73">
        <f>IF($I150=0,"",ROUND($E150/$I150,0))</f>
        <v/>
      </c>
      <c r="K150" s="71">
        <f>IF($B150="",0,$E150*IFERROR(INDEX(Productos!$G$5:$G$124,MATCH($B150,Productos!$A$5:$A$124,0)),0))</f>
        <v/>
      </c>
      <c r="L150" s="71">
        <f>IF($K150=0,0,$K150*Inicio!$C$25/365*Inicio!$C$22)</f>
        <v/>
      </c>
      <c r="M150" s="73">
        <f>IF($B150="","",IF(SUMIF($B$5:$B$304,$B150,$F$5:$F$304)=0,"",ROUND(SUMIF($B$5:$B$304,$B150,$E$5:$E$304)/(SUMIF($B$5:$B$304,$B150,$F$5:$F$304)/Inicio!$C$22),0)))</f>
        <v/>
      </c>
      <c r="N150" s="74">
        <f>IF($B150="","",IF(AND($E150&lt;=0,$F150&gt;0),"QUIEBRE",IF(AND($F150=0,$E150&gt;0),"SIN ROTACIÓN",IF($J150="","",IF($J150&lt;Inicio!$C$23,"RIESGO DE QUIEBRE",IF($J150&gt;Inicio!$C$24*1.5,"EXCESO","SANO"))))))</f>
        <v/>
      </c>
      <c r="O150" s="74">
        <f>IF($M150="","",IF($J150="","",IF($J150&gt;2*$M150,"ENVIAR a otra tienda",IF($J150&lt;0.5*$M150,"PEDIR traslado","—"))))</f>
        <v/>
      </c>
    </row>
    <row r="151" ht="15" customHeight="1" s="47">
      <c r="A151" s="182" t="inlineStr">
        <is>
          <t>T04</t>
        </is>
      </c>
      <c r="B151" s="182" t="inlineStr">
        <is>
          <t>EL-013</t>
        </is>
      </c>
      <c r="C151" s="59">
        <f>IFERROR(INDEX(Productos!$B$5:$B$124,MATCH($B151,Productos!$A$5:$A$124,0)),"")</f>
        <v/>
      </c>
      <c r="D151" s="59">
        <f>IFERROR(INDEX(Productos!$D$5:$D$124,MATCH($B151,Productos!$A$5:$A$124,0)),"")</f>
        <v/>
      </c>
      <c r="E151" s="186" t="n">
        <v>3</v>
      </c>
      <c r="F151" s="70">
        <f>IF($B151="",0,SUMIFS(Ventas!$F$5:$F$504,Ventas!$B$5:$B$504,$A151,Ventas!$C$5:$C$504,$B151))</f>
        <v/>
      </c>
      <c r="G151" s="71">
        <f>IF($B151="",0,SUMIFS(Ventas!$L$5:$L$504,Ventas!$B$5:$B$504,$A151,Ventas!$C$5:$C$504,$B151))</f>
        <v/>
      </c>
      <c r="H151" s="71">
        <f>IF($B151="",0,SUMIFS(Ventas!$P$5:$P$504,Ventas!$B$5:$B$504,$A151,Ventas!$C$5:$C$504,$B151))</f>
        <v/>
      </c>
      <c r="I151" s="72">
        <f>IF($F151=0,0,$F151/Inicio!$C$22)</f>
        <v/>
      </c>
      <c r="J151" s="73">
        <f>IF($I151=0,"",ROUND($E151/$I151,0))</f>
        <v/>
      </c>
      <c r="K151" s="71">
        <f>IF($B151="",0,$E151*IFERROR(INDEX(Productos!$G$5:$G$124,MATCH($B151,Productos!$A$5:$A$124,0)),0))</f>
        <v/>
      </c>
      <c r="L151" s="71">
        <f>IF($K151=0,0,$K151*Inicio!$C$25/365*Inicio!$C$22)</f>
        <v/>
      </c>
      <c r="M151" s="73">
        <f>IF($B151="","",IF(SUMIF($B$5:$B$304,$B151,$F$5:$F$304)=0,"",ROUND(SUMIF($B$5:$B$304,$B151,$E$5:$E$304)/(SUMIF($B$5:$B$304,$B151,$F$5:$F$304)/Inicio!$C$22),0)))</f>
        <v/>
      </c>
      <c r="N151" s="74">
        <f>IF($B151="","",IF(AND($E151&lt;=0,$F151&gt;0),"QUIEBRE",IF(AND($F151=0,$E151&gt;0),"SIN ROTACIÓN",IF($J151="","",IF($J151&lt;Inicio!$C$23,"RIESGO DE QUIEBRE",IF($J151&gt;Inicio!$C$24*1.5,"EXCESO","SANO"))))))</f>
        <v/>
      </c>
      <c r="O151" s="74">
        <f>IF($M151="","",IF($J151="","",IF($J151&gt;2*$M151,"ENVIAR a otra tienda",IF($J151&lt;0.5*$M151,"PEDIR traslado","—"))))</f>
        <v/>
      </c>
    </row>
    <row r="152" ht="15" customHeight="1" s="47">
      <c r="A152" s="182" t="inlineStr">
        <is>
          <t>T04</t>
        </is>
      </c>
      <c r="B152" s="182" t="inlineStr">
        <is>
          <t>EL-014</t>
        </is>
      </c>
      <c r="C152" s="59">
        <f>IFERROR(INDEX(Productos!$B$5:$B$124,MATCH($B152,Productos!$A$5:$A$124,0)),"")</f>
        <v/>
      </c>
      <c r="D152" s="59">
        <f>IFERROR(INDEX(Productos!$D$5:$D$124,MATCH($B152,Productos!$A$5:$A$124,0)),"")</f>
        <v/>
      </c>
      <c r="E152" s="186" t="n">
        <v>1</v>
      </c>
      <c r="F152" s="70">
        <f>IF($B152="",0,SUMIFS(Ventas!$F$5:$F$504,Ventas!$B$5:$B$504,$A152,Ventas!$C$5:$C$504,$B152))</f>
        <v/>
      </c>
      <c r="G152" s="71">
        <f>IF($B152="",0,SUMIFS(Ventas!$L$5:$L$504,Ventas!$B$5:$B$504,$A152,Ventas!$C$5:$C$504,$B152))</f>
        <v/>
      </c>
      <c r="H152" s="71">
        <f>IF($B152="",0,SUMIFS(Ventas!$P$5:$P$504,Ventas!$B$5:$B$504,$A152,Ventas!$C$5:$C$504,$B152))</f>
        <v/>
      </c>
      <c r="I152" s="72">
        <f>IF($F152=0,0,$F152/Inicio!$C$22)</f>
        <v/>
      </c>
      <c r="J152" s="73">
        <f>IF($I152=0,"",ROUND($E152/$I152,0))</f>
        <v/>
      </c>
      <c r="K152" s="71">
        <f>IF($B152="",0,$E152*IFERROR(INDEX(Productos!$G$5:$G$124,MATCH($B152,Productos!$A$5:$A$124,0)),0))</f>
        <v/>
      </c>
      <c r="L152" s="71">
        <f>IF($K152=0,0,$K152*Inicio!$C$25/365*Inicio!$C$22)</f>
        <v/>
      </c>
      <c r="M152" s="73">
        <f>IF($B152="","",IF(SUMIF($B$5:$B$304,$B152,$F$5:$F$304)=0,"",ROUND(SUMIF($B$5:$B$304,$B152,$E$5:$E$304)/(SUMIF($B$5:$B$304,$B152,$F$5:$F$304)/Inicio!$C$22),0)))</f>
        <v/>
      </c>
      <c r="N152" s="74">
        <f>IF($B152="","",IF(AND($E152&lt;=0,$F152&gt;0),"QUIEBRE",IF(AND($F152=0,$E152&gt;0),"SIN ROTACIÓN",IF($J152="","",IF($J152&lt;Inicio!$C$23,"RIESGO DE QUIEBRE",IF($J152&gt;Inicio!$C$24*1.5,"EXCESO","SANO"))))))</f>
        <v/>
      </c>
      <c r="O152" s="74">
        <f>IF($M152="","",IF($J152="","",IF($J152&gt;2*$M152,"ENVIAR a otra tienda",IF($J152&lt;0.5*$M152,"PEDIR traslado","—"))))</f>
        <v/>
      </c>
    </row>
    <row r="153" ht="15" customHeight="1" s="47">
      <c r="A153" s="182" t="inlineStr">
        <is>
          <t>T04</t>
        </is>
      </c>
      <c r="B153" s="182" t="inlineStr">
        <is>
          <t>EL-016</t>
        </is>
      </c>
      <c r="C153" s="59">
        <f>IFERROR(INDEX(Productos!$B$5:$B$124,MATCH($B153,Productos!$A$5:$A$124,0)),"")</f>
        <v/>
      </c>
      <c r="D153" s="59">
        <f>IFERROR(INDEX(Productos!$D$5:$D$124,MATCH($B153,Productos!$A$5:$A$124,0)),"")</f>
        <v/>
      </c>
      <c r="E153" s="186" t="n">
        <v>5</v>
      </c>
      <c r="F153" s="70">
        <f>IF($B153="",0,SUMIFS(Ventas!$F$5:$F$504,Ventas!$B$5:$B$504,$A153,Ventas!$C$5:$C$504,$B153))</f>
        <v/>
      </c>
      <c r="G153" s="71">
        <f>IF($B153="",0,SUMIFS(Ventas!$L$5:$L$504,Ventas!$B$5:$B$504,$A153,Ventas!$C$5:$C$504,$B153))</f>
        <v/>
      </c>
      <c r="H153" s="71">
        <f>IF($B153="",0,SUMIFS(Ventas!$P$5:$P$504,Ventas!$B$5:$B$504,$A153,Ventas!$C$5:$C$504,$B153))</f>
        <v/>
      </c>
      <c r="I153" s="72">
        <f>IF($F153=0,0,$F153/Inicio!$C$22)</f>
        <v/>
      </c>
      <c r="J153" s="73">
        <f>IF($I153=0,"",ROUND($E153/$I153,0))</f>
        <v/>
      </c>
      <c r="K153" s="71">
        <f>IF($B153="",0,$E153*IFERROR(INDEX(Productos!$G$5:$G$124,MATCH($B153,Productos!$A$5:$A$124,0)),0))</f>
        <v/>
      </c>
      <c r="L153" s="71">
        <f>IF($K153=0,0,$K153*Inicio!$C$25/365*Inicio!$C$22)</f>
        <v/>
      </c>
      <c r="M153" s="73">
        <f>IF($B153="","",IF(SUMIF($B$5:$B$304,$B153,$F$5:$F$304)=0,"",ROUND(SUMIF($B$5:$B$304,$B153,$E$5:$E$304)/(SUMIF($B$5:$B$304,$B153,$F$5:$F$304)/Inicio!$C$22),0)))</f>
        <v/>
      </c>
      <c r="N153" s="74">
        <f>IF($B153="","",IF(AND($E153&lt;=0,$F153&gt;0),"QUIEBRE",IF(AND($F153=0,$E153&gt;0),"SIN ROTACIÓN",IF($J153="","",IF($J153&lt;Inicio!$C$23,"RIESGO DE QUIEBRE",IF($J153&gt;Inicio!$C$24*1.5,"EXCESO","SANO"))))))</f>
        <v/>
      </c>
      <c r="O153" s="74">
        <f>IF($M153="","",IF($J153="","",IF($J153&gt;2*$M153,"ENVIAR a otra tienda",IF($J153&lt;0.5*$M153,"PEDIR traslado","—"))))</f>
        <v/>
      </c>
    </row>
    <row r="154" ht="15" customHeight="1" s="47">
      <c r="A154" s="182" t="inlineStr">
        <is>
          <t>T04</t>
        </is>
      </c>
      <c r="B154" s="182" t="inlineStr">
        <is>
          <t>EL-018</t>
        </is>
      </c>
      <c r="C154" s="59">
        <f>IFERROR(INDEX(Productos!$B$5:$B$124,MATCH($B154,Productos!$A$5:$A$124,0)),"")</f>
        <v/>
      </c>
      <c r="D154" s="59">
        <f>IFERROR(INDEX(Productos!$D$5:$D$124,MATCH($B154,Productos!$A$5:$A$124,0)),"")</f>
        <v/>
      </c>
      <c r="E154" s="186" t="n">
        <v>0</v>
      </c>
      <c r="F154" s="70">
        <f>IF($B154="",0,SUMIFS(Ventas!$F$5:$F$504,Ventas!$B$5:$B$504,$A154,Ventas!$C$5:$C$504,$B154))</f>
        <v/>
      </c>
      <c r="G154" s="71">
        <f>IF($B154="",0,SUMIFS(Ventas!$L$5:$L$504,Ventas!$B$5:$B$504,$A154,Ventas!$C$5:$C$504,$B154))</f>
        <v/>
      </c>
      <c r="H154" s="71">
        <f>IF($B154="",0,SUMIFS(Ventas!$P$5:$P$504,Ventas!$B$5:$B$504,$A154,Ventas!$C$5:$C$504,$B154))</f>
        <v/>
      </c>
      <c r="I154" s="72">
        <f>IF($F154=0,0,$F154/Inicio!$C$22)</f>
        <v/>
      </c>
      <c r="J154" s="73">
        <f>IF($I154=0,"",ROUND($E154/$I154,0))</f>
        <v/>
      </c>
      <c r="K154" s="71">
        <f>IF($B154="",0,$E154*IFERROR(INDEX(Productos!$G$5:$G$124,MATCH($B154,Productos!$A$5:$A$124,0)),0))</f>
        <v/>
      </c>
      <c r="L154" s="71">
        <f>IF($K154=0,0,$K154*Inicio!$C$25/365*Inicio!$C$22)</f>
        <v/>
      </c>
      <c r="M154" s="73">
        <f>IF($B154="","",IF(SUMIF($B$5:$B$304,$B154,$F$5:$F$304)=0,"",ROUND(SUMIF($B$5:$B$304,$B154,$E$5:$E$304)/(SUMIF($B$5:$B$304,$B154,$F$5:$F$304)/Inicio!$C$22),0)))</f>
        <v/>
      </c>
      <c r="N154" s="74">
        <f>IF($B154="","",IF(AND($E154&lt;=0,$F154&gt;0),"QUIEBRE",IF(AND($F154=0,$E154&gt;0),"SIN ROTACIÓN",IF($J154="","",IF($J154&lt;Inicio!$C$23,"RIESGO DE QUIEBRE",IF($J154&gt;Inicio!$C$24*1.5,"EXCESO","SANO"))))))</f>
        <v/>
      </c>
      <c r="O154" s="74">
        <f>IF($M154="","",IF($J154="","",IF($J154&gt;2*$M154,"ENVIAR a otra tienda",IF($J154&lt;0.5*$M154,"PEDIR traslado","—"))))</f>
        <v/>
      </c>
    </row>
    <row r="155" ht="15" customHeight="1" s="47">
      <c r="A155" s="182" t="inlineStr">
        <is>
          <t>T04</t>
        </is>
      </c>
      <c r="B155" s="182" t="inlineStr">
        <is>
          <t>EL-020</t>
        </is>
      </c>
      <c r="C155" s="59">
        <f>IFERROR(INDEX(Productos!$B$5:$B$124,MATCH($B155,Productos!$A$5:$A$124,0)),"")</f>
        <v/>
      </c>
      <c r="D155" s="59">
        <f>IFERROR(INDEX(Productos!$D$5:$D$124,MATCH($B155,Productos!$A$5:$A$124,0)),"")</f>
        <v/>
      </c>
      <c r="E155" s="186" t="n">
        <v>1</v>
      </c>
      <c r="F155" s="70">
        <f>IF($B155="",0,SUMIFS(Ventas!$F$5:$F$504,Ventas!$B$5:$B$504,$A155,Ventas!$C$5:$C$504,$B155))</f>
        <v/>
      </c>
      <c r="G155" s="71">
        <f>IF($B155="",0,SUMIFS(Ventas!$L$5:$L$504,Ventas!$B$5:$B$504,$A155,Ventas!$C$5:$C$504,$B155))</f>
        <v/>
      </c>
      <c r="H155" s="71">
        <f>IF($B155="",0,SUMIFS(Ventas!$P$5:$P$504,Ventas!$B$5:$B$504,$A155,Ventas!$C$5:$C$504,$B155))</f>
        <v/>
      </c>
      <c r="I155" s="72">
        <f>IF($F155=0,0,$F155/Inicio!$C$22)</f>
        <v/>
      </c>
      <c r="J155" s="73">
        <f>IF($I155=0,"",ROUND($E155/$I155,0))</f>
        <v/>
      </c>
      <c r="K155" s="71">
        <f>IF($B155="",0,$E155*IFERROR(INDEX(Productos!$G$5:$G$124,MATCH($B155,Productos!$A$5:$A$124,0)),0))</f>
        <v/>
      </c>
      <c r="L155" s="71">
        <f>IF($K155=0,0,$K155*Inicio!$C$25/365*Inicio!$C$22)</f>
        <v/>
      </c>
      <c r="M155" s="73">
        <f>IF($B155="","",IF(SUMIF($B$5:$B$304,$B155,$F$5:$F$304)=0,"",ROUND(SUMIF($B$5:$B$304,$B155,$E$5:$E$304)/(SUMIF($B$5:$B$304,$B155,$F$5:$F$304)/Inicio!$C$22),0)))</f>
        <v/>
      </c>
      <c r="N155" s="74">
        <f>IF($B155="","",IF(AND($E155&lt;=0,$F155&gt;0),"QUIEBRE",IF(AND($F155=0,$E155&gt;0),"SIN ROTACIÓN",IF($J155="","",IF($J155&lt;Inicio!$C$23,"RIESGO DE QUIEBRE",IF($J155&gt;Inicio!$C$24*1.5,"EXCESO","SANO"))))))</f>
        <v/>
      </c>
      <c r="O155" s="74">
        <f>IF($M155="","",IF($J155="","",IF($J155&gt;2*$M155,"ENVIAR a otra tienda",IF($J155&lt;0.5*$M155,"PEDIR traslado","—"))))</f>
        <v/>
      </c>
    </row>
    <row r="156" ht="15" customHeight="1" s="47">
      <c r="A156" s="182" t="inlineStr">
        <is>
          <t>T04</t>
        </is>
      </c>
      <c r="B156" s="182" t="inlineStr">
        <is>
          <t>EL-021</t>
        </is>
      </c>
      <c r="C156" s="59">
        <f>IFERROR(INDEX(Productos!$B$5:$B$124,MATCH($B156,Productos!$A$5:$A$124,0)),"")</f>
        <v/>
      </c>
      <c r="D156" s="59">
        <f>IFERROR(INDEX(Productos!$D$5:$D$124,MATCH($B156,Productos!$A$5:$A$124,0)),"")</f>
        <v/>
      </c>
      <c r="E156" s="186" t="n">
        <v>4</v>
      </c>
      <c r="F156" s="70">
        <f>IF($B156="",0,SUMIFS(Ventas!$F$5:$F$504,Ventas!$B$5:$B$504,$A156,Ventas!$C$5:$C$504,$B156))</f>
        <v/>
      </c>
      <c r="G156" s="71">
        <f>IF($B156="",0,SUMIFS(Ventas!$L$5:$L$504,Ventas!$B$5:$B$504,$A156,Ventas!$C$5:$C$504,$B156))</f>
        <v/>
      </c>
      <c r="H156" s="71">
        <f>IF($B156="",0,SUMIFS(Ventas!$P$5:$P$504,Ventas!$B$5:$B$504,$A156,Ventas!$C$5:$C$504,$B156))</f>
        <v/>
      </c>
      <c r="I156" s="72">
        <f>IF($F156=0,0,$F156/Inicio!$C$22)</f>
        <v/>
      </c>
      <c r="J156" s="73">
        <f>IF($I156=0,"",ROUND($E156/$I156,0))</f>
        <v/>
      </c>
      <c r="K156" s="71">
        <f>IF($B156="",0,$E156*IFERROR(INDEX(Productos!$G$5:$G$124,MATCH($B156,Productos!$A$5:$A$124,0)),0))</f>
        <v/>
      </c>
      <c r="L156" s="71">
        <f>IF($K156=0,0,$K156*Inicio!$C$25/365*Inicio!$C$22)</f>
        <v/>
      </c>
      <c r="M156" s="73">
        <f>IF($B156="","",IF(SUMIF($B$5:$B$304,$B156,$F$5:$F$304)=0,"",ROUND(SUMIF($B$5:$B$304,$B156,$E$5:$E$304)/(SUMIF($B$5:$B$304,$B156,$F$5:$F$304)/Inicio!$C$22),0)))</f>
        <v/>
      </c>
      <c r="N156" s="74">
        <f>IF($B156="","",IF(AND($E156&lt;=0,$F156&gt;0),"QUIEBRE",IF(AND($F156=0,$E156&gt;0),"SIN ROTACIÓN",IF($J156="","",IF($J156&lt;Inicio!$C$23,"RIESGO DE QUIEBRE",IF($J156&gt;Inicio!$C$24*1.5,"EXCESO","SANO"))))))</f>
        <v/>
      </c>
      <c r="O156" s="74">
        <f>IF($M156="","",IF($J156="","",IF($J156&gt;2*$M156,"ENVIAR a otra tienda",IF($J156&lt;0.5*$M156,"PEDIR traslado","—"))))</f>
        <v/>
      </c>
    </row>
    <row r="157" ht="15" customHeight="1" s="47">
      <c r="A157" s="182" t="inlineStr">
        <is>
          <t>T04</t>
        </is>
      </c>
      <c r="B157" s="182" t="inlineStr">
        <is>
          <t>EL-022</t>
        </is>
      </c>
      <c r="C157" s="59">
        <f>IFERROR(INDEX(Productos!$B$5:$B$124,MATCH($B157,Productos!$A$5:$A$124,0)),"")</f>
        <v/>
      </c>
      <c r="D157" s="59">
        <f>IFERROR(INDEX(Productos!$D$5:$D$124,MATCH($B157,Productos!$A$5:$A$124,0)),"")</f>
        <v/>
      </c>
      <c r="E157" s="186" t="n">
        <v>1</v>
      </c>
      <c r="F157" s="70">
        <f>IF($B157="",0,SUMIFS(Ventas!$F$5:$F$504,Ventas!$B$5:$B$504,$A157,Ventas!$C$5:$C$504,$B157))</f>
        <v/>
      </c>
      <c r="G157" s="71">
        <f>IF($B157="",0,SUMIFS(Ventas!$L$5:$L$504,Ventas!$B$5:$B$504,$A157,Ventas!$C$5:$C$504,$B157))</f>
        <v/>
      </c>
      <c r="H157" s="71">
        <f>IF($B157="",0,SUMIFS(Ventas!$P$5:$P$504,Ventas!$B$5:$B$504,$A157,Ventas!$C$5:$C$504,$B157))</f>
        <v/>
      </c>
      <c r="I157" s="72">
        <f>IF($F157=0,0,$F157/Inicio!$C$22)</f>
        <v/>
      </c>
      <c r="J157" s="73">
        <f>IF($I157=0,"",ROUND($E157/$I157,0))</f>
        <v/>
      </c>
      <c r="K157" s="71">
        <f>IF($B157="",0,$E157*IFERROR(INDEX(Productos!$G$5:$G$124,MATCH($B157,Productos!$A$5:$A$124,0)),0))</f>
        <v/>
      </c>
      <c r="L157" s="71">
        <f>IF($K157=0,0,$K157*Inicio!$C$25/365*Inicio!$C$22)</f>
        <v/>
      </c>
      <c r="M157" s="73">
        <f>IF($B157="","",IF(SUMIF($B$5:$B$304,$B157,$F$5:$F$304)=0,"",ROUND(SUMIF($B$5:$B$304,$B157,$E$5:$E$304)/(SUMIF($B$5:$B$304,$B157,$F$5:$F$304)/Inicio!$C$22),0)))</f>
        <v/>
      </c>
      <c r="N157" s="74">
        <f>IF($B157="","",IF(AND($E157&lt;=0,$F157&gt;0),"QUIEBRE",IF(AND($F157=0,$E157&gt;0),"SIN ROTACIÓN",IF($J157="","",IF($J157&lt;Inicio!$C$23,"RIESGO DE QUIEBRE",IF($J157&gt;Inicio!$C$24*1.5,"EXCESO","SANO"))))))</f>
        <v/>
      </c>
      <c r="O157" s="74">
        <f>IF($M157="","",IF($J157="","",IF($J157&gt;2*$M157,"ENVIAR a otra tienda",IF($J157&lt;0.5*$M157,"PEDIR traslado","—"))))</f>
        <v/>
      </c>
    </row>
    <row r="158" ht="15" customHeight="1" s="47">
      <c r="A158" s="182" t="inlineStr">
        <is>
          <t>T04</t>
        </is>
      </c>
      <c r="B158" s="182" t="inlineStr">
        <is>
          <t>EL-024</t>
        </is>
      </c>
      <c r="C158" s="59">
        <f>IFERROR(INDEX(Productos!$B$5:$B$124,MATCH($B158,Productos!$A$5:$A$124,0)),"")</f>
        <v/>
      </c>
      <c r="D158" s="59">
        <f>IFERROR(INDEX(Productos!$D$5:$D$124,MATCH($B158,Productos!$A$5:$A$124,0)),"")</f>
        <v/>
      </c>
      <c r="E158" s="186" t="n">
        <v>8</v>
      </c>
      <c r="F158" s="70">
        <f>IF($B158="",0,SUMIFS(Ventas!$F$5:$F$504,Ventas!$B$5:$B$504,$A158,Ventas!$C$5:$C$504,$B158))</f>
        <v/>
      </c>
      <c r="G158" s="71">
        <f>IF($B158="",0,SUMIFS(Ventas!$L$5:$L$504,Ventas!$B$5:$B$504,$A158,Ventas!$C$5:$C$504,$B158))</f>
        <v/>
      </c>
      <c r="H158" s="71">
        <f>IF($B158="",0,SUMIFS(Ventas!$P$5:$P$504,Ventas!$B$5:$B$504,$A158,Ventas!$C$5:$C$504,$B158))</f>
        <v/>
      </c>
      <c r="I158" s="72">
        <f>IF($F158=0,0,$F158/Inicio!$C$22)</f>
        <v/>
      </c>
      <c r="J158" s="73">
        <f>IF($I158=0,"",ROUND($E158/$I158,0))</f>
        <v/>
      </c>
      <c r="K158" s="71">
        <f>IF($B158="",0,$E158*IFERROR(INDEX(Productos!$G$5:$G$124,MATCH($B158,Productos!$A$5:$A$124,0)),0))</f>
        <v/>
      </c>
      <c r="L158" s="71">
        <f>IF($K158=0,0,$K158*Inicio!$C$25/365*Inicio!$C$22)</f>
        <v/>
      </c>
      <c r="M158" s="73">
        <f>IF($B158="","",IF(SUMIF($B$5:$B$304,$B158,$F$5:$F$304)=0,"",ROUND(SUMIF($B$5:$B$304,$B158,$E$5:$E$304)/(SUMIF($B$5:$B$304,$B158,$F$5:$F$304)/Inicio!$C$22),0)))</f>
        <v/>
      </c>
      <c r="N158" s="74">
        <f>IF($B158="","",IF(AND($E158&lt;=0,$F158&gt;0),"QUIEBRE",IF(AND($F158=0,$E158&gt;0),"SIN ROTACIÓN",IF($J158="","",IF($J158&lt;Inicio!$C$23,"RIESGO DE QUIEBRE",IF($J158&gt;Inicio!$C$24*1.5,"EXCESO","SANO"))))))</f>
        <v/>
      </c>
      <c r="O158" s="74">
        <f>IF($M158="","",IF($J158="","",IF($J158&gt;2*$M158,"ENVIAR a otra tienda",IF($J158&lt;0.5*$M158,"PEDIR traslado","—"))))</f>
        <v/>
      </c>
    </row>
    <row r="159" ht="15" customHeight="1" s="47">
      <c r="A159" s="182" t="inlineStr">
        <is>
          <t>T04</t>
        </is>
      </c>
      <c r="B159" s="182" t="inlineStr">
        <is>
          <t>EL-025</t>
        </is>
      </c>
      <c r="C159" s="59">
        <f>IFERROR(INDEX(Productos!$B$5:$B$124,MATCH($B159,Productos!$A$5:$A$124,0)),"")</f>
        <v/>
      </c>
      <c r="D159" s="59">
        <f>IFERROR(INDEX(Productos!$D$5:$D$124,MATCH($B159,Productos!$A$5:$A$124,0)),"")</f>
        <v/>
      </c>
      <c r="E159" s="186" t="n">
        <v>31</v>
      </c>
      <c r="F159" s="70">
        <f>IF($B159="",0,SUMIFS(Ventas!$F$5:$F$504,Ventas!$B$5:$B$504,$A159,Ventas!$C$5:$C$504,$B159))</f>
        <v/>
      </c>
      <c r="G159" s="71">
        <f>IF($B159="",0,SUMIFS(Ventas!$L$5:$L$504,Ventas!$B$5:$B$504,$A159,Ventas!$C$5:$C$504,$B159))</f>
        <v/>
      </c>
      <c r="H159" s="71">
        <f>IF($B159="",0,SUMIFS(Ventas!$P$5:$P$504,Ventas!$B$5:$B$504,$A159,Ventas!$C$5:$C$504,$B159))</f>
        <v/>
      </c>
      <c r="I159" s="72">
        <f>IF($F159=0,0,$F159/Inicio!$C$22)</f>
        <v/>
      </c>
      <c r="J159" s="73">
        <f>IF($I159=0,"",ROUND($E159/$I159,0))</f>
        <v/>
      </c>
      <c r="K159" s="71">
        <f>IF($B159="",0,$E159*IFERROR(INDEX(Productos!$G$5:$G$124,MATCH($B159,Productos!$A$5:$A$124,0)),0))</f>
        <v/>
      </c>
      <c r="L159" s="71">
        <f>IF($K159=0,0,$K159*Inicio!$C$25/365*Inicio!$C$22)</f>
        <v/>
      </c>
      <c r="M159" s="73">
        <f>IF($B159="","",IF(SUMIF($B$5:$B$304,$B159,$F$5:$F$304)=0,"",ROUND(SUMIF($B$5:$B$304,$B159,$E$5:$E$304)/(SUMIF($B$5:$B$304,$B159,$F$5:$F$304)/Inicio!$C$22),0)))</f>
        <v/>
      </c>
      <c r="N159" s="74">
        <f>IF($B159="","",IF(AND($E159&lt;=0,$F159&gt;0),"QUIEBRE",IF(AND($F159=0,$E159&gt;0),"SIN ROTACIÓN",IF($J159="","",IF($J159&lt;Inicio!$C$23,"RIESGO DE QUIEBRE",IF($J159&gt;Inicio!$C$24*1.5,"EXCESO","SANO"))))))</f>
        <v/>
      </c>
      <c r="O159" s="74">
        <f>IF($M159="","",IF($J159="","",IF($J159&gt;2*$M159,"ENVIAR a otra tienda",IF($J159&lt;0.5*$M159,"PEDIR traslado","—"))))</f>
        <v/>
      </c>
    </row>
    <row r="160" ht="15" customHeight="1" s="47">
      <c r="A160" s="182" t="inlineStr">
        <is>
          <t>T04</t>
        </is>
      </c>
      <c r="B160" s="182" t="inlineStr">
        <is>
          <t>EL-026</t>
        </is>
      </c>
      <c r="C160" s="59">
        <f>IFERROR(INDEX(Productos!$B$5:$B$124,MATCH($B160,Productos!$A$5:$A$124,0)),"")</f>
        <v/>
      </c>
      <c r="D160" s="59">
        <f>IFERROR(INDEX(Productos!$D$5:$D$124,MATCH($B160,Productos!$A$5:$A$124,0)),"")</f>
        <v/>
      </c>
      <c r="E160" s="186" t="n">
        <v>8</v>
      </c>
      <c r="F160" s="70">
        <f>IF($B160="",0,SUMIFS(Ventas!$F$5:$F$504,Ventas!$B$5:$B$504,$A160,Ventas!$C$5:$C$504,$B160))</f>
        <v/>
      </c>
      <c r="G160" s="71">
        <f>IF($B160="",0,SUMIFS(Ventas!$L$5:$L$504,Ventas!$B$5:$B$504,$A160,Ventas!$C$5:$C$504,$B160))</f>
        <v/>
      </c>
      <c r="H160" s="71">
        <f>IF($B160="",0,SUMIFS(Ventas!$P$5:$P$504,Ventas!$B$5:$B$504,$A160,Ventas!$C$5:$C$504,$B160))</f>
        <v/>
      </c>
      <c r="I160" s="72">
        <f>IF($F160=0,0,$F160/Inicio!$C$22)</f>
        <v/>
      </c>
      <c r="J160" s="73">
        <f>IF($I160=0,"",ROUND($E160/$I160,0))</f>
        <v/>
      </c>
      <c r="K160" s="71">
        <f>IF($B160="",0,$E160*IFERROR(INDEX(Productos!$G$5:$G$124,MATCH($B160,Productos!$A$5:$A$124,0)),0))</f>
        <v/>
      </c>
      <c r="L160" s="71">
        <f>IF($K160=0,0,$K160*Inicio!$C$25/365*Inicio!$C$22)</f>
        <v/>
      </c>
      <c r="M160" s="73">
        <f>IF($B160="","",IF(SUMIF($B$5:$B$304,$B160,$F$5:$F$304)=0,"",ROUND(SUMIF($B$5:$B$304,$B160,$E$5:$E$304)/(SUMIF($B$5:$B$304,$B160,$F$5:$F$304)/Inicio!$C$22),0)))</f>
        <v/>
      </c>
      <c r="N160" s="74">
        <f>IF($B160="","",IF(AND($E160&lt;=0,$F160&gt;0),"QUIEBRE",IF(AND($F160=0,$E160&gt;0),"SIN ROTACIÓN",IF($J160="","",IF($J160&lt;Inicio!$C$23,"RIESGO DE QUIEBRE",IF($J160&gt;Inicio!$C$24*1.5,"EXCESO","SANO"))))))</f>
        <v/>
      </c>
      <c r="O160" s="74">
        <f>IF($M160="","",IF($J160="","",IF($J160&gt;2*$M160,"ENVIAR a otra tienda",IF($J160&lt;0.5*$M160,"PEDIR traslado","—"))))</f>
        <v/>
      </c>
    </row>
    <row r="161" ht="15" customHeight="1" s="47">
      <c r="A161" s="182" t="inlineStr">
        <is>
          <t>T04</t>
        </is>
      </c>
      <c r="B161" s="182" t="inlineStr">
        <is>
          <t>EL-027</t>
        </is>
      </c>
      <c r="C161" s="59">
        <f>IFERROR(INDEX(Productos!$B$5:$B$124,MATCH($B161,Productos!$A$5:$A$124,0)),"")</f>
        <v/>
      </c>
      <c r="D161" s="59">
        <f>IFERROR(INDEX(Productos!$D$5:$D$124,MATCH($B161,Productos!$A$5:$A$124,0)),"")</f>
        <v/>
      </c>
      <c r="E161" s="186" t="n">
        <v>3</v>
      </c>
      <c r="F161" s="70">
        <f>IF($B161="",0,SUMIFS(Ventas!$F$5:$F$504,Ventas!$B$5:$B$504,$A161,Ventas!$C$5:$C$504,$B161))</f>
        <v/>
      </c>
      <c r="G161" s="71">
        <f>IF($B161="",0,SUMIFS(Ventas!$L$5:$L$504,Ventas!$B$5:$B$504,$A161,Ventas!$C$5:$C$504,$B161))</f>
        <v/>
      </c>
      <c r="H161" s="71">
        <f>IF($B161="",0,SUMIFS(Ventas!$P$5:$P$504,Ventas!$B$5:$B$504,$A161,Ventas!$C$5:$C$504,$B161))</f>
        <v/>
      </c>
      <c r="I161" s="72">
        <f>IF($F161=0,0,$F161/Inicio!$C$22)</f>
        <v/>
      </c>
      <c r="J161" s="73">
        <f>IF($I161=0,"",ROUND($E161/$I161,0))</f>
        <v/>
      </c>
      <c r="K161" s="71">
        <f>IF($B161="",0,$E161*IFERROR(INDEX(Productos!$G$5:$G$124,MATCH($B161,Productos!$A$5:$A$124,0)),0))</f>
        <v/>
      </c>
      <c r="L161" s="71">
        <f>IF($K161=0,0,$K161*Inicio!$C$25/365*Inicio!$C$22)</f>
        <v/>
      </c>
      <c r="M161" s="73">
        <f>IF($B161="","",IF(SUMIF($B$5:$B$304,$B161,$F$5:$F$304)=0,"",ROUND(SUMIF($B$5:$B$304,$B161,$E$5:$E$304)/(SUMIF($B$5:$B$304,$B161,$F$5:$F$304)/Inicio!$C$22),0)))</f>
        <v/>
      </c>
      <c r="N161" s="74">
        <f>IF($B161="","",IF(AND($E161&lt;=0,$F161&gt;0),"QUIEBRE",IF(AND($F161=0,$E161&gt;0),"SIN ROTACIÓN",IF($J161="","",IF($J161&lt;Inicio!$C$23,"RIESGO DE QUIEBRE",IF($J161&gt;Inicio!$C$24*1.5,"EXCESO","SANO"))))))</f>
        <v/>
      </c>
      <c r="O161" s="74">
        <f>IF($M161="","",IF($J161="","",IF($J161&gt;2*$M161,"ENVIAR a otra tienda",IF($J161&lt;0.5*$M161,"PEDIR traslado","—"))))</f>
        <v/>
      </c>
    </row>
    <row r="162" ht="15" customHeight="1" s="47">
      <c r="A162" s="182" t="inlineStr">
        <is>
          <t>T04</t>
        </is>
      </c>
      <c r="B162" s="182" t="inlineStr">
        <is>
          <t>EL-028</t>
        </is>
      </c>
      <c r="C162" s="59">
        <f>IFERROR(INDEX(Productos!$B$5:$B$124,MATCH($B162,Productos!$A$5:$A$124,0)),"")</f>
        <v/>
      </c>
      <c r="D162" s="59">
        <f>IFERROR(INDEX(Productos!$D$5:$D$124,MATCH($B162,Productos!$A$5:$A$124,0)),"")</f>
        <v/>
      </c>
      <c r="E162" s="186" t="n">
        <v>2</v>
      </c>
      <c r="F162" s="70">
        <f>IF($B162="",0,SUMIFS(Ventas!$F$5:$F$504,Ventas!$B$5:$B$504,$A162,Ventas!$C$5:$C$504,$B162))</f>
        <v/>
      </c>
      <c r="G162" s="71">
        <f>IF($B162="",0,SUMIFS(Ventas!$L$5:$L$504,Ventas!$B$5:$B$504,$A162,Ventas!$C$5:$C$504,$B162))</f>
        <v/>
      </c>
      <c r="H162" s="71">
        <f>IF($B162="",0,SUMIFS(Ventas!$P$5:$P$504,Ventas!$B$5:$B$504,$A162,Ventas!$C$5:$C$504,$B162))</f>
        <v/>
      </c>
      <c r="I162" s="72">
        <f>IF($F162=0,0,$F162/Inicio!$C$22)</f>
        <v/>
      </c>
      <c r="J162" s="73">
        <f>IF($I162=0,"",ROUND($E162/$I162,0))</f>
        <v/>
      </c>
      <c r="K162" s="71">
        <f>IF($B162="",0,$E162*IFERROR(INDEX(Productos!$G$5:$G$124,MATCH($B162,Productos!$A$5:$A$124,0)),0))</f>
        <v/>
      </c>
      <c r="L162" s="71">
        <f>IF($K162=0,0,$K162*Inicio!$C$25/365*Inicio!$C$22)</f>
        <v/>
      </c>
      <c r="M162" s="73">
        <f>IF($B162="","",IF(SUMIF($B$5:$B$304,$B162,$F$5:$F$304)=0,"",ROUND(SUMIF($B$5:$B$304,$B162,$E$5:$E$304)/(SUMIF($B$5:$B$304,$B162,$F$5:$F$304)/Inicio!$C$22),0)))</f>
        <v/>
      </c>
      <c r="N162" s="74">
        <f>IF($B162="","",IF(AND($E162&lt;=0,$F162&gt;0),"QUIEBRE",IF(AND($F162=0,$E162&gt;0),"SIN ROTACIÓN",IF($J162="","",IF($J162&lt;Inicio!$C$23,"RIESGO DE QUIEBRE",IF($J162&gt;Inicio!$C$24*1.5,"EXCESO","SANO"))))))</f>
        <v/>
      </c>
      <c r="O162" s="74">
        <f>IF($M162="","",IF($J162="","",IF($J162&gt;2*$M162,"ENVIAR a otra tienda",IF($J162&lt;0.5*$M162,"PEDIR traslado","—"))))</f>
        <v/>
      </c>
    </row>
    <row r="163" ht="15" customHeight="1" s="47">
      <c r="A163" s="182" t="inlineStr">
        <is>
          <t>T04</t>
        </is>
      </c>
      <c r="B163" s="182" t="inlineStr">
        <is>
          <t>EL-030</t>
        </is>
      </c>
      <c r="C163" s="59">
        <f>IFERROR(INDEX(Productos!$B$5:$B$124,MATCH($B163,Productos!$A$5:$A$124,0)),"")</f>
        <v/>
      </c>
      <c r="D163" s="59">
        <f>IFERROR(INDEX(Productos!$D$5:$D$124,MATCH($B163,Productos!$A$5:$A$124,0)),"")</f>
        <v/>
      </c>
      <c r="E163" s="186" t="n">
        <v>6</v>
      </c>
      <c r="F163" s="70">
        <f>IF($B163="",0,SUMIFS(Ventas!$F$5:$F$504,Ventas!$B$5:$B$504,$A163,Ventas!$C$5:$C$504,$B163))</f>
        <v/>
      </c>
      <c r="G163" s="71">
        <f>IF($B163="",0,SUMIFS(Ventas!$L$5:$L$504,Ventas!$B$5:$B$504,$A163,Ventas!$C$5:$C$504,$B163))</f>
        <v/>
      </c>
      <c r="H163" s="71">
        <f>IF($B163="",0,SUMIFS(Ventas!$P$5:$P$504,Ventas!$B$5:$B$504,$A163,Ventas!$C$5:$C$504,$B163))</f>
        <v/>
      </c>
      <c r="I163" s="72">
        <f>IF($F163=0,0,$F163/Inicio!$C$22)</f>
        <v/>
      </c>
      <c r="J163" s="73">
        <f>IF($I163=0,"",ROUND($E163/$I163,0))</f>
        <v/>
      </c>
      <c r="K163" s="71">
        <f>IF($B163="",0,$E163*IFERROR(INDEX(Productos!$G$5:$G$124,MATCH($B163,Productos!$A$5:$A$124,0)),0))</f>
        <v/>
      </c>
      <c r="L163" s="71">
        <f>IF($K163=0,0,$K163*Inicio!$C$25/365*Inicio!$C$22)</f>
        <v/>
      </c>
      <c r="M163" s="73">
        <f>IF($B163="","",IF(SUMIF($B$5:$B$304,$B163,$F$5:$F$304)=0,"",ROUND(SUMIF($B$5:$B$304,$B163,$E$5:$E$304)/(SUMIF($B$5:$B$304,$B163,$F$5:$F$304)/Inicio!$C$22),0)))</f>
        <v/>
      </c>
      <c r="N163" s="74">
        <f>IF($B163="","",IF(AND($E163&lt;=0,$F163&gt;0),"QUIEBRE",IF(AND($F163=0,$E163&gt;0),"SIN ROTACIÓN",IF($J163="","",IF($J163&lt;Inicio!$C$23,"RIESGO DE QUIEBRE",IF($J163&gt;Inicio!$C$24*1.5,"EXCESO","SANO"))))))</f>
        <v/>
      </c>
      <c r="O163" s="74">
        <f>IF($M163="","",IF($J163="","",IF($J163&gt;2*$M163,"ENVIAR a otra tienda",IF($J163&lt;0.5*$M163,"PEDIR traslado","—"))))</f>
        <v/>
      </c>
    </row>
    <row r="164" ht="15" customHeight="1" s="47">
      <c r="A164" s="182" t="inlineStr">
        <is>
          <t>T04</t>
        </is>
      </c>
      <c r="B164" s="182" t="inlineStr">
        <is>
          <t>EL-034</t>
        </is>
      </c>
      <c r="C164" s="59">
        <f>IFERROR(INDEX(Productos!$B$5:$B$124,MATCH($B164,Productos!$A$5:$A$124,0)),"")</f>
        <v/>
      </c>
      <c r="D164" s="59">
        <f>IFERROR(INDEX(Productos!$D$5:$D$124,MATCH($B164,Productos!$A$5:$A$124,0)),"")</f>
        <v/>
      </c>
      <c r="E164" s="186" t="n">
        <v>3</v>
      </c>
      <c r="F164" s="70">
        <f>IF($B164="",0,SUMIFS(Ventas!$F$5:$F$504,Ventas!$B$5:$B$504,$A164,Ventas!$C$5:$C$504,$B164))</f>
        <v/>
      </c>
      <c r="G164" s="71">
        <f>IF($B164="",0,SUMIFS(Ventas!$L$5:$L$504,Ventas!$B$5:$B$504,$A164,Ventas!$C$5:$C$504,$B164))</f>
        <v/>
      </c>
      <c r="H164" s="71">
        <f>IF($B164="",0,SUMIFS(Ventas!$P$5:$P$504,Ventas!$B$5:$B$504,$A164,Ventas!$C$5:$C$504,$B164))</f>
        <v/>
      </c>
      <c r="I164" s="72">
        <f>IF($F164=0,0,$F164/Inicio!$C$22)</f>
        <v/>
      </c>
      <c r="J164" s="73">
        <f>IF($I164=0,"",ROUND($E164/$I164,0))</f>
        <v/>
      </c>
      <c r="K164" s="71">
        <f>IF($B164="",0,$E164*IFERROR(INDEX(Productos!$G$5:$G$124,MATCH($B164,Productos!$A$5:$A$124,0)),0))</f>
        <v/>
      </c>
      <c r="L164" s="71">
        <f>IF($K164=0,0,$K164*Inicio!$C$25/365*Inicio!$C$22)</f>
        <v/>
      </c>
      <c r="M164" s="73">
        <f>IF($B164="","",IF(SUMIF($B$5:$B$304,$B164,$F$5:$F$304)=0,"",ROUND(SUMIF($B$5:$B$304,$B164,$E$5:$E$304)/(SUMIF($B$5:$B$304,$B164,$F$5:$F$304)/Inicio!$C$22),0)))</f>
        <v/>
      </c>
      <c r="N164" s="74">
        <f>IF($B164="","",IF(AND($E164&lt;=0,$F164&gt;0),"QUIEBRE",IF(AND($F164=0,$E164&gt;0),"SIN ROTACIÓN",IF($J164="","",IF($J164&lt;Inicio!$C$23,"RIESGO DE QUIEBRE",IF($J164&gt;Inicio!$C$24*1.5,"EXCESO","SANO"))))))</f>
        <v/>
      </c>
      <c r="O164" s="74">
        <f>IF($M164="","",IF($J164="","",IF($J164&gt;2*$M164,"ENVIAR a otra tienda",IF($J164&lt;0.5*$M164,"PEDIR traslado","—"))))</f>
        <v/>
      </c>
    </row>
    <row r="165" ht="15" customHeight="1" s="47">
      <c r="A165" s="182" t="inlineStr">
        <is>
          <t>T04</t>
        </is>
      </c>
      <c r="B165" s="182" t="inlineStr">
        <is>
          <t>EL-036</t>
        </is>
      </c>
      <c r="C165" s="59">
        <f>IFERROR(INDEX(Productos!$B$5:$B$124,MATCH($B165,Productos!$A$5:$A$124,0)),"")</f>
        <v/>
      </c>
      <c r="D165" s="59">
        <f>IFERROR(INDEX(Productos!$D$5:$D$124,MATCH($B165,Productos!$A$5:$A$124,0)),"")</f>
        <v/>
      </c>
      <c r="E165" s="186" t="n">
        <v>1</v>
      </c>
      <c r="F165" s="70">
        <f>IF($B165="",0,SUMIFS(Ventas!$F$5:$F$504,Ventas!$B$5:$B$504,$A165,Ventas!$C$5:$C$504,$B165))</f>
        <v/>
      </c>
      <c r="G165" s="71">
        <f>IF($B165="",0,SUMIFS(Ventas!$L$5:$L$504,Ventas!$B$5:$B$504,$A165,Ventas!$C$5:$C$504,$B165))</f>
        <v/>
      </c>
      <c r="H165" s="71">
        <f>IF($B165="",0,SUMIFS(Ventas!$P$5:$P$504,Ventas!$B$5:$B$504,$A165,Ventas!$C$5:$C$504,$B165))</f>
        <v/>
      </c>
      <c r="I165" s="72">
        <f>IF($F165=0,0,$F165/Inicio!$C$22)</f>
        <v/>
      </c>
      <c r="J165" s="73">
        <f>IF($I165=0,"",ROUND($E165/$I165,0))</f>
        <v/>
      </c>
      <c r="K165" s="71">
        <f>IF($B165="",0,$E165*IFERROR(INDEX(Productos!$G$5:$G$124,MATCH($B165,Productos!$A$5:$A$124,0)),0))</f>
        <v/>
      </c>
      <c r="L165" s="71">
        <f>IF($K165=0,0,$K165*Inicio!$C$25/365*Inicio!$C$22)</f>
        <v/>
      </c>
      <c r="M165" s="73">
        <f>IF($B165="","",IF(SUMIF($B$5:$B$304,$B165,$F$5:$F$304)=0,"",ROUND(SUMIF($B$5:$B$304,$B165,$E$5:$E$304)/(SUMIF($B$5:$B$304,$B165,$F$5:$F$304)/Inicio!$C$22),0)))</f>
        <v/>
      </c>
      <c r="N165" s="74">
        <f>IF($B165="","",IF(AND($E165&lt;=0,$F165&gt;0),"QUIEBRE",IF(AND($F165=0,$E165&gt;0),"SIN ROTACIÓN",IF($J165="","",IF($J165&lt;Inicio!$C$23,"RIESGO DE QUIEBRE",IF($J165&gt;Inicio!$C$24*1.5,"EXCESO","SANO"))))))</f>
        <v/>
      </c>
      <c r="O165" s="74">
        <f>IF($M165="","",IF($J165="","",IF($J165&gt;2*$M165,"ENVIAR a otra tienda",IF($J165&lt;0.5*$M165,"PEDIR traslado","—"))))</f>
        <v/>
      </c>
    </row>
    <row r="166" ht="15" customHeight="1" s="47">
      <c r="A166" s="182" t="inlineStr">
        <is>
          <t>T04</t>
        </is>
      </c>
      <c r="B166" s="182" t="inlineStr">
        <is>
          <t>EL-038</t>
        </is>
      </c>
      <c r="C166" s="59">
        <f>IFERROR(INDEX(Productos!$B$5:$B$124,MATCH($B166,Productos!$A$5:$A$124,0)),"")</f>
        <v/>
      </c>
      <c r="D166" s="59">
        <f>IFERROR(INDEX(Productos!$D$5:$D$124,MATCH($B166,Productos!$A$5:$A$124,0)),"")</f>
        <v/>
      </c>
      <c r="E166" s="186" t="n">
        <v>4</v>
      </c>
      <c r="F166" s="70">
        <f>IF($B166="",0,SUMIFS(Ventas!$F$5:$F$504,Ventas!$B$5:$B$504,$A166,Ventas!$C$5:$C$504,$B166))</f>
        <v/>
      </c>
      <c r="G166" s="71">
        <f>IF($B166="",0,SUMIFS(Ventas!$L$5:$L$504,Ventas!$B$5:$B$504,$A166,Ventas!$C$5:$C$504,$B166))</f>
        <v/>
      </c>
      <c r="H166" s="71">
        <f>IF($B166="",0,SUMIFS(Ventas!$P$5:$P$504,Ventas!$B$5:$B$504,$A166,Ventas!$C$5:$C$504,$B166))</f>
        <v/>
      </c>
      <c r="I166" s="72">
        <f>IF($F166=0,0,$F166/Inicio!$C$22)</f>
        <v/>
      </c>
      <c r="J166" s="73">
        <f>IF($I166=0,"",ROUND($E166/$I166,0))</f>
        <v/>
      </c>
      <c r="K166" s="71">
        <f>IF($B166="",0,$E166*IFERROR(INDEX(Productos!$G$5:$G$124,MATCH($B166,Productos!$A$5:$A$124,0)),0))</f>
        <v/>
      </c>
      <c r="L166" s="71">
        <f>IF($K166=0,0,$K166*Inicio!$C$25/365*Inicio!$C$22)</f>
        <v/>
      </c>
      <c r="M166" s="73">
        <f>IF($B166="","",IF(SUMIF($B$5:$B$304,$B166,$F$5:$F$304)=0,"",ROUND(SUMIF($B$5:$B$304,$B166,$E$5:$E$304)/(SUMIF($B$5:$B$304,$B166,$F$5:$F$304)/Inicio!$C$22),0)))</f>
        <v/>
      </c>
      <c r="N166" s="74">
        <f>IF($B166="","",IF(AND($E166&lt;=0,$F166&gt;0),"QUIEBRE",IF(AND($F166=0,$E166&gt;0),"SIN ROTACIÓN",IF($J166="","",IF($J166&lt;Inicio!$C$23,"RIESGO DE QUIEBRE",IF($J166&gt;Inicio!$C$24*1.5,"EXCESO","SANO"))))))</f>
        <v/>
      </c>
      <c r="O166" s="74">
        <f>IF($M166="","",IF($J166="","",IF($J166&gt;2*$M166,"ENVIAR a otra tienda",IF($J166&lt;0.5*$M166,"PEDIR traslado","—"))))</f>
        <v/>
      </c>
    </row>
    <row r="167" ht="15" customHeight="1" s="47">
      <c r="A167" s="182" t="inlineStr">
        <is>
          <t>T04</t>
        </is>
      </c>
      <c r="B167" s="182" t="inlineStr">
        <is>
          <t>EL-039</t>
        </is>
      </c>
      <c r="C167" s="59">
        <f>IFERROR(INDEX(Productos!$B$5:$B$124,MATCH($B167,Productos!$A$5:$A$124,0)),"")</f>
        <v/>
      </c>
      <c r="D167" s="59">
        <f>IFERROR(INDEX(Productos!$D$5:$D$124,MATCH($B167,Productos!$A$5:$A$124,0)),"")</f>
        <v/>
      </c>
      <c r="E167" s="186" t="n">
        <v>6</v>
      </c>
      <c r="F167" s="70">
        <f>IF($B167="",0,SUMIFS(Ventas!$F$5:$F$504,Ventas!$B$5:$B$504,$A167,Ventas!$C$5:$C$504,$B167))</f>
        <v/>
      </c>
      <c r="G167" s="71">
        <f>IF($B167="",0,SUMIFS(Ventas!$L$5:$L$504,Ventas!$B$5:$B$504,$A167,Ventas!$C$5:$C$504,$B167))</f>
        <v/>
      </c>
      <c r="H167" s="71">
        <f>IF($B167="",0,SUMIFS(Ventas!$P$5:$P$504,Ventas!$B$5:$B$504,$A167,Ventas!$C$5:$C$504,$B167))</f>
        <v/>
      </c>
      <c r="I167" s="72">
        <f>IF($F167=0,0,$F167/Inicio!$C$22)</f>
        <v/>
      </c>
      <c r="J167" s="73">
        <f>IF($I167=0,"",ROUND($E167/$I167,0))</f>
        <v/>
      </c>
      <c r="K167" s="71">
        <f>IF($B167="",0,$E167*IFERROR(INDEX(Productos!$G$5:$G$124,MATCH($B167,Productos!$A$5:$A$124,0)),0))</f>
        <v/>
      </c>
      <c r="L167" s="71">
        <f>IF($K167=0,0,$K167*Inicio!$C$25/365*Inicio!$C$22)</f>
        <v/>
      </c>
      <c r="M167" s="73">
        <f>IF($B167="","",IF(SUMIF($B$5:$B$304,$B167,$F$5:$F$304)=0,"",ROUND(SUMIF($B$5:$B$304,$B167,$E$5:$E$304)/(SUMIF($B$5:$B$304,$B167,$F$5:$F$304)/Inicio!$C$22),0)))</f>
        <v/>
      </c>
      <c r="N167" s="74">
        <f>IF($B167="","",IF(AND($E167&lt;=0,$F167&gt;0),"QUIEBRE",IF(AND($F167=0,$E167&gt;0),"SIN ROTACIÓN",IF($J167="","",IF($J167&lt;Inicio!$C$23,"RIESGO DE QUIEBRE",IF($J167&gt;Inicio!$C$24*1.5,"EXCESO","SANO"))))))</f>
        <v/>
      </c>
      <c r="O167" s="74">
        <f>IF($M167="","",IF($J167="","",IF($J167&gt;2*$M167,"ENVIAR a otra tienda",IF($J167&lt;0.5*$M167,"PEDIR traslado","—"))))</f>
        <v/>
      </c>
    </row>
    <row r="168" ht="15" customHeight="1" s="47">
      <c r="A168" s="182" t="inlineStr">
        <is>
          <t>T04</t>
        </is>
      </c>
      <c r="B168" s="182" t="inlineStr">
        <is>
          <t>EL-040</t>
        </is>
      </c>
      <c r="C168" s="59">
        <f>IFERROR(INDEX(Productos!$B$5:$B$124,MATCH($B168,Productos!$A$5:$A$124,0)),"")</f>
        <v/>
      </c>
      <c r="D168" s="59">
        <f>IFERROR(INDEX(Productos!$D$5:$D$124,MATCH($B168,Productos!$A$5:$A$124,0)),"")</f>
        <v/>
      </c>
      <c r="E168" s="186" t="n">
        <v>2</v>
      </c>
      <c r="F168" s="70">
        <f>IF($B168="",0,SUMIFS(Ventas!$F$5:$F$504,Ventas!$B$5:$B$504,$A168,Ventas!$C$5:$C$504,$B168))</f>
        <v/>
      </c>
      <c r="G168" s="71">
        <f>IF($B168="",0,SUMIFS(Ventas!$L$5:$L$504,Ventas!$B$5:$B$504,$A168,Ventas!$C$5:$C$504,$B168))</f>
        <v/>
      </c>
      <c r="H168" s="71">
        <f>IF($B168="",0,SUMIFS(Ventas!$P$5:$P$504,Ventas!$B$5:$B$504,$A168,Ventas!$C$5:$C$504,$B168))</f>
        <v/>
      </c>
      <c r="I168" s="72">
        <f>IF($F168=0,0,$F168/Inicio!$C$22)</f>
        <v/>
      </c>
      <c r="J168" s="73">
        <f>IF($I168=0,"",ROUND($E168/$I168,0))</f>
        <v/>
      </c>
      <c r="K168" s="71">
        <f>IF($B168="",0,$E168*IFERROR(INDEX(Productos!$G$5:$G$124,MATCH($B168,Productos!$A$5:$A$124,0)),0))</f>
        <v/>
      </c>
      <c r="L168" s="71">
        <f>IF($K168=0,0,$K168*Inicio!$C$25/365*Inicio!$C$22)</f>
        <v/>
      </c>
      <c r="M168" s="73">
        <f>IF($B168="","",IF(SUMIF($B$5:$B$304,$B168,$F$5:$F$304)=0,"",ROUND(SUMIF($B$5:$B$304,$B168,$E$5:$E$304)/(SUMIF($B$5:$B$304,$B168,$F$5:$F$304)/Inicio!$C$22),0)))</f>
        <v/>
      </c>
      <c r="N168" s="74">
        <f>IF($B168="","",IF(AND($E168&lt;=0,$F168&gt;0),"QUIEBRE",IF(AND($F168=0,$E168&gt;0),"SIN ROTACIÓN",IF($J168="","",IF($J168&lt;Inicio!$C$23,"RIESGO DE QUIEBRE",IF($J168&gt;Inicio!$C$24*1.5,"EXCESO","SANO"))))))</f>
        <v/>
      </c>
      <c r="O168" s="74">
        <f>IF($M168="","",IF($J168="","",IF($J168&gt;2*$M168,"ENVIAR a otra tienda",IF($J168&lt;0.5*$M168,"PEDIR traslado","—"))))</f>
        <v/>
      </c>
    </row>
    <row r="169" ht="15" customHeight="1" s="47">
      <c r="A169" s="182" t="inlineStr">
        <is>
          <t>T04</t>
        </is>
      </c>
      <c r="B169" s="182" t="inlineStr">
        <is>
          <t>EL-044</t>
        </is>
      </c>
      <c r="C169" s="59">
        <f>IFERROR(INDEX(Productos!$B$5:$B$124,MATCH($B169,Productos!$A$5:$A$124,0)),"")</f>
        <v/>
      </c>
      <c r="D169" s="59">
        <f>IFERROR(INDEX(Productos!$D$5:$D$124,MATCH($B169,Productos!$A$5:$A$124,0)),"")</f>
        <v/>
      </c>
      <c r="E169" s="186" t="n">
        <v>6</v>
      </c>
      <c r="F169" s="70">
        <f>IF($B169="",0,SUMIFS(Ventas!$F$5:$F$504,Ventas!$B$5:$B$504,$A169,Ventas!$C$5:$C$504,$B169))</f>
        <v/>
      </c>
      <c r="G169" s="71">
        <f>IF($B169="",0,SUMIFS(Ventas!$L$5:$L$504,Ventas!$B$5:$B$504,$A169,Ventas!$C$5:$C$504,$B169))</f>
        <v/>
      </c>
      <c r="H169" s="71">
        <f>IF($B169="",0,SUMIFS(Ventas!$P$5:$P$504,Ventas!$B$5:$B$504,$A169,Ventas!$C$5:$C$504,$B169))</f>
        <v/>
      </c>
      <c r="I169" s="72">
        <f>IF($F169=0,0,$F169/Inicio!$C$22)</f>
        <v/>
      </c>
      <c r="J169" s="73">
        <f>IF($I169=0,"",ROUND($E169/$I169,0))</f>
        <v/>
      </c>
      <c r="K169" s="71">
        <f>IF($B169="",0,$E169*IFERROR(INDEX(Productos!$G$5:$G$124,MATCH($B169,Productos!$A$5:$A$124,0)),0))</f>
        <v/>
      </c>
      <c r="L169" s="71">
        <f>IF($K169=0,0,$K169*Inicio!$C$25/365*Inicio!$C$22)</f>
        <v/>
      </c>
      <c r="M169" s="73">
        <f>IF($B169="","",IF(SUMIF($B$5:$B$304,$B169,$F$5:$F$304)=0,"",ROUND(SUMIF($B$5:$B$304,$B169,$E$5:$E$304)/(SUMIF($B$5:$B$304,$B169,$F$5:$F$304)/Inicio!$C$22),0)))</f>
        <v/>
      </c>
      <c r="N169" s="74">
        <f>IF($B169="","",IF(AND($E169&lt;=0,$F169&gt;0),"QUIEBRE",IF(AND($F169=0,$E169&gt;0),"SIN ROTACIÓN",IF($J169="","",IF($J169&lt;Inicio!$C$23,"RIESGO DE QUIEBRE",IF($J169&gt;Inicio!$C$24*1.5,"EXCESO","SANO"))))))</f>
        <v/>
      </c>
      <c r="O169" s="74">
        <f>IF($M169="","",IF($J169="","",IF($J169&gt;2*$M169,"ENVIAR a otra tienda",IF($J169&lt;0.5*$M169,"PEDIR traslado","—"))))</f>
        <v/>
      </c>
    </row>
    <row r="170" ht="15" customHeight="1" s="47">
      <c r="A170" s="182" t="inlineStr">
        <is>
          <t>T04</t>
        </is>
      </c>
      <c r="B170" s="182" t="inlineStr">
        <is>
          <t>EL-045</t>
        </is>
      </c>
      <c r="C170" s="59">
        <f>IFERROR(INDEX(Productos!$B$5:$B$124,MATCH($B170,Productos!$A$5:$A$124,0)),"")</f>
        <v/>
      </c>
      <c r="D170" s="59">
        <f>IFERROR(INDEX(Productos!$D$5:$D$124,MATCH($B170,Productos!$A$5:$A$124,0)),"")</f>
        <v/>
      </c>
      <c r="E170" s="186" t="n">
        <v>3</v>
      </c>
      <c r="F170" s="70">
        <f>IF($B170="",0,SUMIFS(Ventas!$F$5:$F$504,Ventas!$B$5:$B$504,$A170,Ventas!$C$5:$C$504,$B170))</f>
        <v/>
      </c>
      <c r="G170" s="71">
        <f>IF($B170="",0,SUMIFS(Ventas!$L$5:$L$504,Ventas!$B$5:$B$504,$A170,Ventas!$C$5:$C$504,$B170))</f>
        <v/>
      </c>
      <c r="H170" s="71">
        <f>IF($B170="",0,SUMIFS(Ventas!$P$5:$P$504,Ventas!$B$5:$B$504,$A170,Ventas!$C$5:$C$504,$B170))</f>
        <v/>
      </c>
      <c r="I170" s="72">
        <f>IF($F170=0,0,$F170/Inicio!$C$22)</f>
        <v/>
      </c>
      <c r="J170" s="73">
        <f>IF($I170=0,"",ROUND($E170/$I170,0))</f>
        <v/>
      </c>
      <c r="K170" s="71">
        <f>IF($B170="",0,$E170*IFERROR(INDEX(Productos!$G$5:$G$124,MATCH($B170,Productos!$A$5:$A$124,0)),0))</f>
        <v/>
      </c>
      <c r="L170" s="71">
        <f>IF($K170=0,0,$K170*Inicio!$C$25/365*Inicio!$C$22)</f>
        <v/>
      </c>
      <c r="M170" s="73">
        <f>IF($B170="","",IF(SUMIF($B$5:$B$304,$B170,$F$5:$F$304)=0,"",ROUND(SUMIF($B$5:$B$304,$B170,$E$5:$E$304)/(SUMIF($B$5:$B$304,$B170,$F$5:$F$304)/Inicio!$C$22),0)))</f>
        <v/>
      </c>
      <c r="N170" s="74">
        <f>IF($B170="","",IF(AND($E170&lt;=0,$F170&gt;0),"QUIEBRE",IF(AND($F170=0,$E170&gt;0),"SIN ROTACIÓN",IF($J170="","",IF($J170&lt;Inicio!$C$23,"RIESGO DE QUIEBRE",IF($J170&gt;Inicio!$C$24*1.5,"EXCESO","SANO"))))))</f>
        <v/>
      </c>
      <c r="O170" s="74">
        <f>IF($M170="","",IF($J170="","",IF($J170&gt;2*$M170,"ENVIAR a otra tienda",IF($J170&lt;0.5*$M170,"PEDIR traslado","—"))))</f>
        <v/>
      </c>
    </row>
    <row r="171" ht="15" customHeight="1" s="47">
      <c r="A171" s="182" t="inlineStr">
        <is>
          <t>T04</t>
        </is>
      </c>
      <c r="B171" s="182" t="inlineStr">
        <is>
          <t>EL-046</t>
        </is>
      </c>
      <c r="C171" s="59">
        <f>IFERROR(INDEX(Productos!$B$5:$B$124,MATCH($B171,Productos!$A$5:$A$124,0)),"")</f>
        <v/>
      </c>
      <c r="D171" s="59">
        <f>IFERROR(INDEX(Productos!$D$5:$D$124,MATCH($B171,Productos!$A$5:$A$124,0)),"")</f>
        <v/>
      </c>
      <c r="E171" s="186" t="n">
        <v>3</v>
      </c>
      <c r="F171" s="70">
        <f>IF($B171="",0,SUMIFS(Ventas!$F$5:$F$504,Ventas!$B$5:$B$504,$A171,Ventas!$C$5:$C$504,$B171))</f>
        <v/>
      </c>
      <c r="G171" s="71">
        <f>IF($B171="",0,SUMIFS(Ventas!$L$5:$L$504,Ventas!$B$5:$B$504,$A171,Ventas!$C$5:$C$504,$B171))</f>
        <v/>
      </c>
      <c r="H171" s="71">
        <f>IF($B171="",0,SUMIFS(Ventas!$P$5:$P$504,Ventas!$B$5:$B$504,$A171,Ventas!$C$5:$C$504,$B171))</f>
        <v/>
      </c>
      <c r="I171" s="72">
        <f>IF($F171=0,0,$F171/Inicio!$C$22)</f>
        <v/>
      </c>
      <c r="J171" s="73">
        <f>IF($I171=0,"",ROUND($E171/$I171,0))</f>
        <v/>
      </c>
      <c r="K171" s="71">
        <f>IF($B171="",0,$E171*IFERROR(INDEX(Productos!$G$5:$G$124,MATCH($B171,Productos!$A$5:$A$124,0)),0))</f>
        <v/>
      </c>
      <c r="L171" s="71">
        <f>IF($K171=0,0,$K171*Inicio!$C$25/365*Inicio!$C$22)</f>
        <v/>
      </c>
      <c r="M171" s="73">
        <f>IF($B171="","",IF(SUMIF($B$5:$B$304,$B171,$F$5:$F$304)=0,"",ROUND(SUMIF($B$5:$B$304,$B171,$E$5:$E$304)/(SUMIF($B$5:$B$304,$B171,$F$5:$F$304)/Inicio!$C$22),0)))</f>
        <v/>
      </c>
      <c r="N171" s="74">
        <f>IF($B171="","",IF(AND($E171&lt;=0,$F171&gt;0),"QUIEBRE",IF(AND($F171=0,$E171&gt;0),"SIN ROTACIÓN",IF($J171="","",IF($J171&lt;Inicio!$C$23,"RIESGO DE QUIEBRE",IF($J171&gt;Inicio!$C$24*1.5,"EXCESO","SANO"))))))</f>
        <v/>
      </c>
      <c r="O171" s="74">
        <f>IF($M171="","",IF($J171="","",IF($J171&gt;2*$M171,"ENVIAR a otra tienda",IF($J171&lt;0.5*$M171,"PEDIR traslado","—"))))</f>
        <v/>
      </c>
    </row>
    <row r="172" ht="15" customHeight="1" s="47">
      <c r="A172" s="182" t="inlineStr">
        <is>
          <t>T04</t>
        </is>
      </c>
      <c r="B172" s="182" t="inlineStr">
        <is>
          <t>EL-049</t>
        </is>
      </c>
      <c r="C172" s="59">
        <f>IFERROR(INDEX(Productos!$B$5:$B$124,MATCH($B172,Productos!$A$5:$A$124,0)),"")</f>
        <v/>
      </c>
      <c r="D172" s="59">
        <f>IFERROR(INDEX(Productos!$D$5:$D$124,MATCH($B172,Productos!$A$5:$A$124,0)),"")</f>
        <v/>
      </c>
      <c r="E172" s="186" t="n">
        <v>5</v>
      </c>
      <c r="F172" s="70">
        <f>IF($B172="",0,SUMIFS(Ventas!$F$5:$F$504,Ventas!$B$5:$B$504,$A172,Ventas!$C$5:$C$504,$B172))</f>
        <v/>
      </c>
      <c r="G172" s="71">
        <f>IF($B172="",0,SUMIFS(Ventas!$L$5:$L$504,Ventas!$B$5:$B$504,$A172,Ventas!$C$5:$C$504,$B172))</f>
        <v/>
      </c>
      <c r="H172" s="71">
        <f>IF($B172="",0,SUMIFS(Ventas!$P$5:$P$504,Ventas!$B$5:$B$504,$A172,Ventas!$C$5:$C$504,$B172))</f>
        <v/>
      </c>
      <c r="I172" s="72">
        <f>IF($F172=0,0,$F172/Inicio!$C$22)</f>
        <v/>
      </c>
      <c r="J172" s="73">
        <f>IF($I172=0,"",ROUND($E172/$I172,0))</f>
        <v/>
      </c>
      <c r="K172" s="71">
        <f>IF($B172="",0,$E172*IFERROR(INDEX(Productos!$G$5:$G$124,MATCH($B172,Productos!$A$5:$A$124,0)),0))</f>
        <v/>
      </c>
      <c r="L172" s="71">
        <f>IF($K172=0,0,$K172*Inicio!$C$25/365*Inicio!$C$22)</f>
        <v/>
      </c>
      <c r="M172" s="73">
        <f>IF($B172="","",IF(SUMIF($B$5:$B$304,$B172,$F$5:$F$304)=0,"",ROUND(SUMIF($B$5:$B$304,$B172,$E$5:$E$304)/(SUMIF($B$5:$B$304,$B172,$F$5:$F$304)/Inicio!$C$22),0)))</f>
        <v/>
      </c>
      <c r="N172" s="74">
        <f>IF($B172="","",IF(AND($E172&lt;=0,$F172&gt;0),"QUIEBRE",IF(AND($F172=0,$E172&gt;0),"SIN ROTACIÓN",IF($J172="","",IF($J172&lt;Inicio!$C$23,"RIESGO DE QUIEBRE",IF($J172&gt;Inicio!$C$24*1.5,"EXCESO","SANO"))))))</f>
        <v/>
      </c>
      <c r="O172" s="74">
        <f>IF($M172="","",IF($J172="","",IF($J172&gt;2*$M172,"ENVIAR a otra tienda",IF($J172&lt;0.5*$M172,"PEDIR traslado","—"))))</f>
        <v/>
      </c>
    </row>
    <row r="173" ht="15" customHeight="1" s="47">
      <c r="A173" s="182" t="inlineStr">
        <is>
          <t>T05</t>
        </is>
      </c>
      <c r="B173" s="182" t="inlineStr">
        <is>
          <t>EL-001</t>
        </is>
      </c>
      <c r="C173" s="59">
        <f>IFERROR(INDEX(Productos!$B$5:$B$124,MATCH($B173,Productos!$A$5:$A$124,0)),"")</f>
        <v/>
      </c>
      <c r="D173" s="59">
        <f>IFERROR(INDEX(Productos!$D$5:$D$124,MATCH($B173,Productos!$A$5:$A$124,0)),"")</f>
        <v/>
      </c>
      <c r="E173" s="186" t="n">
        <v>31</v>
      </c>
      <c r="F173" s="70">
        <f>IF($B173="",0,SUMIFS(Ventas!$F$5:$F$504,Ventas!$B$5:$B$504,$A173,Ventas!$C$5:$C$504,$B173))</f>
        <v/>
      </c>
      <c r="G173" s="71">
        <f>IF($B173="",0,SUMIFS(Ventas!$L$5:$L$504,Ventas!$B$5:$B$504,$A173,Ventas!$C$5:$C$504,$B173))</f>
        <v/>
      </c>
      <c r="H173" s="71">
        <f>IF($B173="",0,SUMIFS(Ventas!$P$5:$P$504,Ventas!$B$5:$B$504,$A173,Ventas!$C$5:$C$504,$B173))</f>
        <v/>
      </c>
      <c r="I173" s="72">
        <f>IF($F173=0,0,$F173/Inicio!$C$22)</f>
        <v/>
      </c>
      <c r="J173" s="73">
        <f>IF($I173=0,"",ROUND($E173/$I173,0))</f>
        <v/>
      </c>
      <c r="K173" s="71">
        <f>IF($B173="",0,$E173*IFERROR(INDEX(Productos!$G$5:$G$124,MATCH($B173,Productos!$A$5:$A$124,0)),0))</f>
        <v/>
      </c>
      <c r="L173" s="71">
        <f>IF($K173=0,0,$K173*Inicio!$C$25/365*Inicio!$C$22)</f>
        <v/>
      </c>
      <c r="M173" s="73">
        <f>IF($B173="","",IF(SUMIF($B$5:$B$304,$B173,$F$5:$F$304)=0,"",ROUND(SUMIF($B$5:$B$304,$B173,$E$5:$E$304)/(SUMIF($B$5:$B$304,$B173,$F$5:$F$304)/Inicio!$C$22),0)))</f>
        <v/>
      </c>
      <c r="N173" s="74">
        <f>IF($B173="","",IF(AND($E173&lt;=0,$F173&gt;0),"QUIEBRE",IF(AND($F173=0,$E173&gt;0),"SIN ROTACIÓN",IF($J173="","",IF($J173&lt;Inicio!$C$23,"RIESGO DE QUIEBRE",IF($J173&gt;Inicio!$C$24*1.5,"EXCESO","SANO"))))))</f>
        <v/>
      </c>
      <c r="O173" s="74">
        <f>IF($M173="","",IF($J173="","",IF($J173&gt;2*$M173,"ENVIAR a otra tienda",IF($J173&lt;0.5*$M173,"PEDIR traslado","—"))))</f>
        <v/>
      </c>
    </row>
    <row r="174" ht="15" customHeight="1" s="47">
      <c r="A174" s="182" t="inlineStr">
        <is>
          <t>T05</t>
        </is>
      </c>
      <c r="B174" s="182" t="inlineStr">
        <is>
          <t>EL-002</t>
        </is>
      </c>
      <c r="C174" s="59">
        <f>IFERROR(INDEX(Productos!$B$5:$B$124,MATCH($B174,Productos!$A$5:$A$124,0)),"")</f>
        <v/>
      </c>
      <c r="D174" s="59">
        <f>IFERROR(INDEX(Productos!$D$5:$D$124,MATCH($B174,Productos!$A$5:$A$124,0)),"")</f>
        <v/>
      </c>
      <c r="E174" s="186" t="n">
        <v>0</v>
      </c>
      <c r="F174" s="70">
        <f>IF($B174="",0,SUMIFS(Ventas!$F$5:$F$504,Ventas!$B$5:$B$504,$A174,Ventas!$C$5:$C$504,$B174))</f>
        <v/>
      </c>
      <c r="G174" s="71">
        <f>IF($B174="",0,SUMIFS(Ventas!$L$5:$L$504,Ventas!$B$5:$B$504,$A174,Ventas!$C$5:$C$504,$B174))</f>
        <v/>
      </c>
      <c r="H174" s="71">
        <f>IF($B174="",0,SUMIFS(Ventas!$P$5:$P$504,Ventas!$B$5:$B$504,$A174,Ventas!$C$5:$C$504,$B174))</f>
        <v/>
      </c>
      <c r="I174" s="72">
        <f>IF($F174=0,0,$F174/Inicio!$C$22)</f>
        <v/>
      </c>
      <c r="J174" s="73">
        <f>IF($I174=0,"",ROUND($E174/$I174,0))</f>
        <v/>
      </c>
      <c r="K174" s="71">
        <f>IF($B174="",0,$E174*IFERROR(INDEX(Productos!$G$5:$G$124,MATCH($B174,Productos!$A$5:$A$124,0)),0))</f>
        <v/>
      </c>
      <c r="L174" s="71">
        <f>IF($K174=0,0,$K174*Inicio!$C$25/365*Inicio!$C$22)</f>
        <v/>
      </c>
      <c r="M174" s="73">
        <f>IF($B174="","",IF(SUMIF($B$5:$B$304,$B174,$F$5:$F$304)=0,"",ROUND(SUMIF($B$5:$B$304,$B174,$E$5:$E$304)/(SUMIF($B$5:$B$304,$B174,$F$5:$F$304)/Inicio!$C$22),0)))</f>
        <v/>
      </c>
      <c r="N174" s="74">
        <f>IF($B174="","",IF(AND($E174&lt;=0,$F174&gt;0),"QUIEBRE",IF(AND($F174=0,$E174&gt;0),"SIN ROTACIÓN",IF($J174="","",IF($J174&lt;Inicio!$C$23,"RIESGO DE QUIEBRE",IF($J174&gt;Inicio!$C$24*1.5,"EXCESO","SANO"))))))</f>
        <v/>
      </c>
      <c r="O174" s="74">
        <f>IF($M174="","",IF($J174="","",IF($J174&gt;2*$M174,"ENVIAR a otra tienda",IF($J174&lt;0.5*$M174,"PEDIR traslado","—"))))</f>
        <v/>
      </c>
    </row>
    <row r="175" ht="15" customHeight="1" s="47">
      <c r="A175" s="182" t="inlineStr">
        <is>
          <t>T05</t>
        </is>
      </c>
      <c r="B175" s="182" t="inlineStr">
        <is>
          <t>EL-003</t>
        </is>
      </c>
      <c r="C175" s="59">
        <f>IFERROR(INDEX(Productos!$B$5:$B$124,MATCH($B175,Productos!$A$5:$A$124,0)),"")</f>
        <v/>
      </c>
      <c r="D175" s="59">
        <f>IFERROR(INDEX(Productos!$D$5:$D$124,MATCH($B175,Productos!$A$5:$A$124,0)),"")</f>
        <v/>
      </c>
      <c r="E175" s="186" t="n">
        <v>1</v>
      </c>
      <c r="F175" s="70">
        <f>IF($B175="",0,SUMIFS(Ventas!$F$5:$F$504,Ventas!$B$5:$B$504,$A175,Ventas!$C$5:$C$504,$B175))</f>
        <v/>
      </c>
      <c r="G175" s="71">
        <f>IF($B175="",0,SUMIFS(Ventas!$L$5:$L$504,Ventas!$B$5:$B$504,$A175,Ventas!$C$5:$C$504,$B175))</f>
        <v/>
      </c>
      <c r="H175" s="71">
        <f>IF($B175="",0,SUMIFS(Ventas!$P$5:$P$504,Ventas!$B$5:$B$504,$A175,Ventas!$C$5:$C$504,$B175))</f>
        <v/>
      </c>
      <c r="I175" s="72">
        <f>IF($F175=0,0,$F175/Inicio!$C$22)</f>
        <v/>
      </c>
      <c r="J175" s="73">
        <f>IF($I175=0,"",ROUND($E175/$I175,0))</f>
        <v/>
      </c>
      <c r="K175" s="71">
        <f>IF($B175="",0,$E175*IFERROR(INDEX(Productos!$G$5:$G$124,MATCH($B175,Productos!$A$5:$A$124,0)),0))</f>
        <v/>
      </c>
      <c r="L175" s="71">
        <f>IF($K175=0,0,$K175*Inicio!$C$25/365*Inicio!$C$22)</f>
        <v/>
      </c>
      <c r="M175" s="73">
        <f>IF($B175="","",IF(SUMIF($B$5:$B$304,$B175,$F$5:$F$304)=0,"",ROUND(SUMIF($B$5:$B$304,$B175,$E$5:$E$304)/(SUMIF($B$5:$B$304,$B175,$F$5:$F$304)/Inicio!$C$22),0)))</f>
        <v/>
      </c>
      <c r="N175" s="74">
        <f>IF($B175="","",IF(AND($E175&lt;=0,$F175&gt;0),"QUIEBRE",IF(AND($F175=0,$E175&gt;0),"SIN ROTACIÓN",IF($J175="","",IF($J175&lt;Inicio!$C$23,"RIESGO DE QUIEBRE",IF($J175&gt;Inicio!$C$24*1.5,"EXCESO","SANO"))))))</f>
        <v/>
      </c>
      <c r="O175" s="74">
        <f>IF($M175="","",IF($J175="","",IF($J175&gt;2*$M175,"ENVIAR a otra tienda",IF($J175&lt;0.5*$M175,"PEDIR traslado","—"))))</f>
        <v/>
      </c>
    </row>
    <row r="176" ht="15" customHeight="1" s="47">
      <c r="A176" s="182" t="inlineStr">
        <is>
          <t>T05</t>
        </is>
      </c>
      <c r="B176" s="182" t="inlineStr">
        <is>
          <t>EL-006</t>
        </is>
      </c>
      <c r="C176" s="59">
        <f>IFERROR(INDEX(Productos!$B$5:$B$124,MATCH($B176,Productos!$A$5:$A$124,0)),"")</f>
        <v/>
      </c>
      <c r="D176" s="59">
        <f>IFERROR(INDEX(Productos!$D$5:$D$124,MATCH($B176,Productos!$A$5:$A$124,0)),"")</f>
        <v/>
      </c>
      <c r="E176" s="186" t="n">
        <v>8</v>
      </c>
      <c r="F176" s="70">
        <f>IF($B176="",0,SUMIFS(Ventas!$F$5:$F$504,Ventas!$B$5:$B$504,$A176,Ventas!$C$5:$C$504,$B176))</f>
        <v/>
      </c>
      <c r="G176" s="71">
        <f>IF($B176="",0,SUMIFS(Ventas!$L$5:$L$504,Ventas!$B$5:$B$504,$A176,Ventas!$C$5:$C$504,$B176))</f>
        <v/>
      </c>
      <c r="H176" s="71">
        <f>IF($B176="",0,SUMIFS(Ventas!$P$5:$P$504,Ventas!$B$5:$B$504,$A176,Ventas!$C$5:$C$504,$B176))</f>
        <v/>
      </c>
      <c r="I176" s="72">
        <f>IF($F176=0,0,$F176/Inicio!$C$22)</f>
        <v/>
      </c>
      <c r="J176" s="73">
        <f>IF($I176=0,"",ROUND($E176/$I176,0))</f>
        <v/>
      </c>
      <c r="K176" s="71">
        <f>IF($B176="",0,$E176*IFERROR(INDEX(Productos!$G$5:$G$124,MATCH($B176,Productos!$A$5:$A$124,0)),0))</f>
        <v/>
      </c>
      <c r="L176" s="71">
        <f>IF($K176=0,0,$K176*Inicio!$C$25/365*Inicio!$C$22)</f>
        <v/>
      </c>
      <c r="M176" s="73">
        <f>IF($B176="","",IF(SUMIF($B$5:$B$304,$B176,$F$5:$F$304)=0,"",ROUND(SUMIF($B$5:$B$304,$B176,$E$5:$E$304)/(SUMIF($B$5:$B$304,$B176,$F$5:$F$304)/Inicio!$C$22),0)))</f>
        <v/>
      </c>
      <c r="N176" s="74">
        <f>IF($B176="","",IF(AND($E176&lt;=0,$F176&gt;0),"QUIEBRE",IF(AND($F176=0,$E176&gt;0),"SIN ROTACIÓN",IF($J176="","",IF($J176&lt;Inicio!$C$23,"RIESGO DE QUIEBRE",IF($J176&gt;Inicio!$C$24*1.5,"EXCESO","SANO"))))))</f>
        <v/>
      </c>
      <c r="O176" s="74">
        <f>IF($M176="","",IF($J176="","",IF($J176&gt;2*$M176,"ENVIAR a otra tienda",IF($J176&lt;0.5*$M176,"PEDIR traslado","—"))))</f>
        <v/>
      </c>
    </row>
    <row r="177" ht="15" customHeight="1" s="47">
      <c r="A177" s="182" t="inlineStr">
        <is>
          <t>T05</t>
        </is>
      </c>
      <c r="B177" s="182" t="inlineStr">
        <is>
          <t>EL-007</t>
        </is>
      </c>
      <c r="C177" s="59">
        <f>IFERROR(INDEX(Productos!$B$5:$B$124,MATCH($B177,Productos!$A$5:$A$124,0)),"")</f>
        <v/>
      </c>
      <c r="D177" s="59">
        <f>IFERROR(INDEX(Productos!$D$5:$D$124,MATCH($B177,Productos!$A$5:$A$124,0)),"")</f>
        <v/>
      </c>
      <c r="E177" s="186" t="n">
        <v>4</v>
      </c>
      <c r="F177" s="70">
        <f>IF($B177="",0,SUMIFS(Ventas!$F$5:$F$504,Ventas!$B$5:$B$504,$A177,Ventas!$C$5:$C$504,$B177))</f>
        <v/>
      </c>
      <c r="G177" s="71">
        <f>IF($B177="",0,SUMIFS(Ventas!$L$5:$L$504,Ventas!$B$5:$B$504,$A177,Ventas!$C$5:$C$504,$B177))</f>
        <v/>
      </c>
      <c r="H177" s="71">
        <f>IF($B177="",0,SUMIFS(Ventas!$P$5:$P$504,Ventas!$B$5:$B$504,$A177,Ventas!$C$5:$C$504,$B177))</f>
        <v/>
      </c>
      <c r="I177" s="72">
        <f>IF($F177=0,0,$F177/Inicio!$C$22)</f>
        <v/>
      </c>
      <c r="J177" s="73">
        <f>IF($I177=0,"",ROUND($E177/$I177,0))</f>
        <v/>
      </c>
      <c r="K177" s="71">
        <f>IF($B177="",0,$E177*IFERROR(INDEX(Productos!$G$5:$G$124,MATCH($B177,Productos!$A$5:$A$124,0)),0))</f>
        <v/>
      </c>
      <c r="L177" s="71">
        <f>IF($K177=0,0,$K177*Inicio!$C$25/365*Inicio!$C$22)</f>
        <v/>
      </c>
      <c r="M177" s="73">
        <f>IF($B177="","",IF(SUMIF($B$5:$B$304,$B177,$F$5:$F$304)=0,"",ROUND(SUMIF($B$5:$B$304,$B177,$E$5:$E$304)/(SUMIF($B$5:$B$304,$B177,$F$5:$F$304)/Inicio!$C$22),0)))</f>
        <v/>
      </c>
      <c r="N177" s="74">
        <f>IF($B177="","",IF(AND($E177&lt;=0,$F177&gt;0),"QUIEBRE",IF(AND($F177=0,$E177&gt;0),"SIN ROTACIÓN",IF($J177="","",IF($J177&lt;Inicio!$C$23,"RIESGO DE QUIEBRE",IF($J177&gt;Inicio!$C$24*1.5,"EXCESO","SANO"))))))</f>
        <v/>
      </c>
      <c r="O177" s="74">
        <f>IF($M177="","",IF($J177="","",IF($J177&gt;2*$M177,"ENVIAR a otra tienda",IF($J177&lt;0.5*$M177,"PEDIR traslado","—"))))</f>
        <v/>
      </c>
    </row>
    <row r="178" ht="15" customHeight="1" s="47">
      <c r="A178" s="182" t="inlineStr">
        <is>
          <t>T05</t>
        </is>
      </c>
      <c r="B178" s="182" t="inlineStr">
        <is>
          <t>EL-008</t>
        </is>
      </c>
      <c r="C178" s="59">
        <f>IFERROR(INDEX(Productos!$B$5:$B$124,MATCH($B178,Productos!$A$5:$A$124,0)),"")</f>
        <v/>
      </c>
      <c r="D178" s="59">
        <f>IFERROR(INDEX(Productos!$D$5:$D$124,MATCH($B178,Productos!$A$5:$A$124,0)),"")</f>
        <v/>
      </c>
      <c r="E178" s="186" t="n">
        <v>3</v>
      </c>
      <c r="F178" s="70">
        <f>IF($B178="",0,SUMIFS(Ventas!$F$5:$F$504,Ventas!$B$5:$B$504,$A178,Ventas!$C$5:$C$504,$B178))</f>
        <v/>
      </c>
      <c r="G178" s="71">
        <f>IF($B178="",0,SUMIFS(Ventas!$L$5:$L$504,Ventas!$B$5:$B$504,$A178,Ventas!$C$5:$C$504,$B178))</f>
        <v/>
      </c>
      <c r="H178" s="71">
        <f>IF($B178="",0,SUMIFS(Ventas!$P$5:$P$504,Ventas!$B$5:$B$504,$A178,Ventas!$C$5:$C$504,$B178))</f>
        <v/>
      </c>
      <c r="I178" s="72">
        <f>IF($F178=0,0,$F178/Inicio!$C$22)</f>
        <v/>
      </c>
      <c r="J178" s="73">
        <f>IF($I178=0,"",ROUND($E178/$I178,0))</f>
        <v/>
      </c>
      <c r="K178" s="71">
        <f>IF($B178="",0,$E178*IFERROR(INDEX(Productos!$G$5:$G$124,MATCH($B178,Productos!$A$5:$A$124,0)),0))</f>
        <v/>
      </c>
      <c r="L178" s="71">
        <f>IF($K178=0,0,$K178*Inicio!$C$25/365*Inicio!$C$22)</f>
        <v/>
      </c>
      <c r="M178" s="73">
        <f>IF($B178="","",IF(SUMIF($B$5:$B$304,$B178,$F$5:$F$304)=0,"",ROUND(SUMIF($B$5:$B$304,$B178,$E$5:$E$304)/(SUMIF($B$5:$B$304,$B178,$F$5:$F$304)/Inicio!$C$22),0)))</f>
        <v/>
      </c>
      <c r="N178" s="74">
        <f>IF($B178="","",IF(AND($E178&lt;=0,$F178&gt;0),"QUIEBRE",IF(AND($F178=0,$E178&gt;0),"SIN ROTACIÓN",IF($J178="","",IF($J178&lt;Inicio!$C$23,"RIESGO DE QUIEBRE",IF($J178&gt;Inicio!$C$24*1.5,"EXCESO","SANO"))))))</f>
        <v/>
      </c>
      <c r="O178" s="74">
        <f>IF($M178="","",IF($J178="","",IF($J178&gt;2*$M178,"ENVIAR a otra tienda",IF($J178&lt;0.5*$M178,"PEDIR traslado","—"))))</f>
        <v/>
      </c>
    </row>
    <row r="179" ht="15" customHeight="1" s="47">
      <c r="A179" s="182" t="inlineStr">
        <is>
          <t>T05</t>
        </is>
      </c>
      <c r="B179" s="182" t="inlineStr">
        <is>
          <t>EL-009</t>
        </is>
      </c>
      <c r="C179" s="59">
        <f>IFERROR(INDEX(Productos!$B$5:$B$124,MATCH($B179,Productos!$A$5:$A$124,0)),"")</f>
        <v/>
      </c>
      <c r="D179" s="59">
        <f>IFERROR(INDEX(Productos!$D$5:$D$124,MATCH($B179,Productos!$A$5:$A$124,0)),"")</f>
        <v/>
      </c>
      <c r="E179" s="186" t="n">
        <v>5</v>
      </c>
      <c r="F179" s="70">
        <f>IF($B179="",0,SUMIFS(Ventas!$F$5:$F$504,Ventas!$B$5:$B$504,$A179,Ventas!$C$5:$C$504,$B179))</f>
        <v/>
      </c>
      <c r="G179" s="71">
        <f>IF($B179="",0,SUMIFS(Ventas!$L$5:$L$504,Ventas!$B$5:$B$504,$A179,Ventas!$C$5:$C$504,$B179))</f>
        <v/>
      </c>
      <c r="H179" s="71">
        <f>IF($B179="",0,SUMIFS(Ventas!$P$5:$P$504,Ventas!$B$5:$B$504,$A179,Ventas!$C$5:$C$504,$B179))</f>
        <v/>
      </c>
      <c r="I179" s="72">
        <f>IF($F179=0,0,$F179/Inicio!$C$22)</f>
        <v/>
      </c>
      <c r="J179" s="73">
        <f>IF($I179=0,"",ROUND($E179/$I179,0))</f>
        <v/>
      </c>
      <c r="K179" s="71">
        <f>IF($B179="",0,$E179*IFERROR(INDEX(Productos!$G$5:$G$124,MATCH($B179,Productos!$A$5:$A$124,0)),0))</f>
        <v/>
      </c>
      <c r="L179" s="71">
        <f>IF($K179=0,0,$K179*Inicio!$C$25/365*Inicio!$C$22)</f>
        <v/>
      </c>
      <c r="M179" s="73">
        <f>IF($B179="","",IF(SUMIF($B$5:$B$304,$B179,$F$5:$F$304)=0,"",ROUND(SUMIF($B$5:$B$304,$B179,$E$5:$E$304)/(SUMIF($B$5:$B$304,$B179,$F$5:$F$304)/Inicio!$C$22),0)))</f>
        <v/>
      </c>
      <c r="N179" s="74">
        <f>IF($B179="","",IF(AND($E179&lt;=0,$F179&gt;0),"QUIEBRE",IF(AND($F179=0,$E179&gt;0),"SIN ROTACIÓN",IF($J179="","",IF($J179&lt;Inicio!$C$23,"RIESGO DE QUIEBRE",IF($J179&gt;Inicio!$C$24*1.5,"EXCESO","SANO"))))))</f>
        <v/>
      </c>
      <c r="O179" s="74">
        <f>IF($M179="","",IF($J179="","",IF($J179&gt;2*$M179,"ENVIAR a otra tienda",IF($J179&lt;0.5*$M179,"PEDIR traslado","—"))))</f>
        <v/>
      </c>
    </row>
    <row r="180" ht="15" customHeight="1" s="47">
      <c r="A180" s="182" t="inlineStr">
        <is>
          <t>T05</t>
        </is>
      </c>
      <c r="B180" s="182" t="inlineStr">
        <is>
          <t>EL-011</t>
        </is>
      </c>
      <c r="C180" s="59">
        <f>IFERROR(INDEX(Productos!$B$5:$B$124,MATCH($B180,Productos!$A$5:$A$124,0)),"")</f>
        <v/>
      </c>
      <c r="D180" s="59">
        <f>IFERROR(INDEX(Productos!$D$5:$D$124,MATCH($B180,Productos!$A$5:$A$124,0)),"")</f>
        <v/>
      </c>
      <c r="E180" s="186" t="n">
        <v>12</v>
      </c>
      <c r="F180" s="70">
        <f>IF($B180="",0,SUMIFS(Ventas!$F$5:$F$504,Ventas!$B$5:$B$504,$A180,Ventas!$C$5:$C$504,$B180))</f>
        <v/>
      </c>
      <c r="G180" s="71">
        <f>IF($B180="",0,SUMIFS(Ventas!$L$5:$L$504,Ventas!$B$5:$B$504,$A180,Ventas!$C$5:$C$504,$B180))</f>
        <v/>
      </c>
      <c r="H180" s="71">
        <f>IF($B180="",0,SUMIFS(Ventas!$P$5:$P$504,Ventas!$B$5:$B$504,$A180,Ventas!$C$5:$C$504,$B180))</f>
        <v/>
      </c>
      <c r="I180" s="72">
        <f>IF($F180=0,0,$F180/Inicio!$C$22)</f>
        <v/>
      </c>
      <c r="J180" s="73">
        <f>IF($I180=0,"",ROUND($E180/$I180,0))</f>
        <v/>
      </c>
      <c r="K180" s="71">
        <f>IF($B180="",0,$E180*IFERROR(INDEX(Productos!$G$5:$G$124,MATCH($B180,Productos!$A$5:$A$124,0)),0))</f>
        <v/>
      </c>
      <c r="L180" s="71">
        <f>IF($K180=0,0,$K180*Inicio!$C$25/365*Inicio!$C$22)</f>
        <v/>
      </c>
      <c r="M180" s="73">
        <f>IF($B180="","",IF(SUMIF($B$5:$B$304,$B180,$F$5:$F$304)=0,"",ROUND(SUMIF($B$5:$B$304,$B180,$E$5:$E$304)/(SUMIF($B$5:$B$304,$B180,$F$5:$F$304)/Inicio!$C$22),0)))</f>
        <v/>
      </c>
      <c r="N180" s="74">
        <f>IF($B180="","",IF(AND($E180&lt;=0,$F180&gt;0),"QUIEBRE",IF(AND($F180=0,$E180&gt;0),"SIN ROTACIÓN",IF($J180="","",IF($J180&lt;Inicio!$C$23,"RIESGO DE QUIEBRE",IF($J180&gt;Inicio!$C$24*1.5,"EXCESO","SANO"))))))</f>
        <v/>
      </c>
      <c r="O180" s="74">
        <f>IF($M180="","",IF($J180="","",IF($J180&gt;2*$M180,"ENVIAR a otra tienda",IF($J180&lt;0.5*$M180,"PEDIR traslado","—"))))</f>
        <v/>
      </c>
    </row>
    <row r="181" ht="15" customHeight="1" s="47">
      <c r="A181" s="182" t="inlineStr">
        <is>
          <t>T05</t>
        </is>
      </c>
      <c r="B181" s="182" t="inlineStr">
        <is>
          <t>EL-012</t>
        </is>
      </c>
      <c r="C181" s="59">
        <f>IFERROR(INDEX(Productos!$B$5:$B$124,MATCH($B181,Productos!$A$5:$A$124,0)),"")</f>
        <v/>
      </c>
      <c r="D181" s="59">
        <f>IFERROR(INDEX(Productos!$D$5:$D$124,MATCH($B181,Productos!$A$5:$A$124,0)),"")</f>
        <v/>
      </c>
      <c r="E181" s="186" t="n">
        <v>1</v>
      </c>
      <c r="F181" s="70">
        <f>IF($B181="",0,SUMIFS(Ventas!$F$5:$F$504,Ventas!$B$5:$B$504,$A181,Ventas!$C$5:$C$504,$B181))</f>
        <v/>
      </c>
      <c r="G181" s="71">
        <f>IF($B181="",0,SUMIFS(Ventas!$L$5:$L$504,Ventas!$B$5:$B$504,$A181,Ventas!$C$5:$C$504,$B181))</f>
        <v/>
      </c>
      <c r="H181" s="71">
        <f>IF($B181="",0,SUMIFS(Ventas!$P$5:$P$504,Ventas!$B$5:$B$504,$A181,Ventas!$C$5:$C$504,$B181))</f>
        <v/>
      </c>
      <c r="I181" s="72">
        <f>IF($F181=0,0,$F181/Inicio!$C$22)</f>
        <v/>
      </c>
      <c r="J181" s="73">
        <f>IF($I181=0,"",ROUND($E181/$I181,0))</f>
        <v/>
      </c>
      <c r="K181" s="71">
        <f>IF($B181="",0,$E181*IFERROR(INDEX(Productos!$G$5:$G$124,MATCH($B181,Productos!$A$5:$A$124,0)),0))</f>
        <v/>
      </c>
      <c r="L181" s="71">
        <f>IF($K181=0,0,$K181*Inicio!$C$25/365*Inicio!$C$22)</f>
        <v/>
      </c>
      <c r="M181" s="73">
        <f>IF($B181="","",IF(SUMIF($B$5:$B$304,$B181,$F$5:$F$304)=0,"",ROUND(SUMIF($B$5:$B$304,$B181,$E$5:$E$304)/(SUMIF($B$5:$B$304,$B181,$F$5:$F$304)/Inicio!$C$22),0)))</f>
        <v/>
      </c>
      <c r="N181" s="74">
        <f>IF($B181="","",IF(AND($E181&lt;=0,$F181&gt;0),"QUIEBRE",IF(AND($F181=0,$E181&gt;0),"SIN ROTACIÓN",IF($J181="","",IF($J181&lt;Inicio!$C$23,"RIESGO DE QUIEBRE",IF($J181&gt;Inicio!$C$24*1.5,"EXCESO","SANO"))))))</f>
        <v/>
      </c>
      <c r="O181" s="74">
        <f>IF($M181="","",IF($J181="","",IF($J181&gt;2*$M181,"ENVIAR a otra tienda",IF($J181&lt;0.5*$M181,"PEDIR traslado","—"))))</f>
        <v/>
      </c>
    </row>
    <row r="182" ht="15" customHeight="1" s="47">
      <c r="A182" s="182" t="inlineStr">
        <is>
          <t>T05</t>
        </is>
      </c>
      <c r="B182" s="182" t="inlineStr">
        <is>
          <t>EL-013</t>
        </is>
      </c>
      <c r="C182" s="59">
        <f>IFERROR(INDEX(Productos!$B$5:$B$124,MATCH($B182,Productos!$A$5:$A$124,0)),"")</f>
        <v/>
      </c>
      <c r="D182" s="59">
        <f>IFERROR(INDEX(Productos!$D$5:$D$124,MATCH($B182,Productos!$A$5:$A$124,0)),"")</f>
        <v/>
      </c>
      <c r="E182" s="186" t="n">
        <v>3</v>
      </c>
      <c r="F182" s="70">
        <f>IF($B182="",0,SUMIFS(Ventas!$F$5:$F$504,Ventas!$B$5:$B$504,$A182,Ventas!$C$5:$C$504,$B182))</f>
        <v/>
      </c>
      <c r="G182" s="71">
        <f>IF($B182="",0,SUMIFS(Ventas!$L$5:$L$504,Ventas!$B$5:$B$504,$A182,Ventas!$C$5:$C$504,$B182))</f>
        <v/>
      </c>
      <c r="H182" s="71">
        <f>IF($B182="",0,SUMIFS(Ventas!$P$5:$P$504,Ventas!$B$5:$B$504,$A182,Ventas!$C$5:$C$504,$B182))</f>
        <v/>
      </c>
      <c r="I182" s="72">
        <f>IF($F182=0,0,$F182/Inicio!$C$22)</f>
        <v/>
      </c>
      <c r="J182" s="73">
        <f>IF($I182=0,"",ROUND($E182/$I182,0))</f>
        <v/>
      </c>
      <c r="K182" s="71">
        <f>IF($B182="",0,$E182*IFERROR(INDEX(Productos!$G$5:$G$124,MATCH($B182,Productos!$A$5:$A$124,0)),0))</f>
        <v/>
      </c>
      <c r="L182" s="71">
        <f>IF($K182=0,0,$K182*Inicio!$C$25/365*Inicio!$C$22)</f>
        <v/>
      </c>
      <c r="M182" s="73">
        <f>IF($B182="","",IF(SUMIF($B$5:$B$304,$B182,$F$5:$F$304)=0,"",ROUND(SUMIF($B$5:$B$304,$B182,$E$5:$E$304)/(SUMIF($B$5:$B$304,$B182,$F$5:$F$304)/Inicio!$C$22),0)))</f>
        <v/>
      </c>
      <c r="N182" s="74">
        <f>IF($B182="","",IF(AND($E182&lt;=0,$F182&gt;0),"QUIEBRE",IF(AND($F182=0,$E182&gt;0),"SIN ROTACIÓN",IF($J182="","",IF($J182&lt;Inicio!$C$23,"RIESGO DE QUIEBRE",IF($J182&gt;Inicio!$C$24*1.5,"EXCESO","SANO"))))))</f>
        <v/>
      </c>
      <c r="O182" s="74">
        <f>IF($M182="","",IF($J182="","",IF($J182&gt;2*$M182,"ENVIAR a otra tienda",IF($J182&lt;0.5*$M182,"PEDIR traslado","—"))))</f>
        <v/>
      </c>
    </row>
    <row r="183" ht="15" customHeight="1" s="47">
      <c r="A183" s="182" t="inlineStr">
        <is>
          <t>T05</t>
        </is>
      </c>
      <c r="B183" s="182" t="inlineStr">
        <is>
          <t>EL-014</t>
        </is>
      </c>
      <c r="C183" s="59">
        <f>IFERROR(INDEX(Productos!$B$5:$B$124,MATCH($B183,Productos!$A$5:$A$124,0)),"")</f>
        <v/>
      </c>
      <c r="D183" s="59">
        <f>IFERROR(INDEX(Productos!$D$5:$D$124,MATCH($B183,Productos!$A$5:$A$124,0)),"")</f>
        <v/>
      </c>
      <c r="E183" s="186" t="n">
        <v>5</v>
      </c>
      <c r="F183" s="70">
        <f>IF($B183="",0,SUMIFS(Ventas!$F$5:$F$504,Ventas!$B$5:$B$504,$A183,Ventas!$C$5:$C$504,$B183))</f>
        <v/>
      </c>
      <c r="G183" s="71">
        <f>IF($B183="",0,SUMIFS(Ventas!$L$5:$L$504,Ventas!$B$5:$B$504,$A183,Ventas!$C$5:$C$504,$B183))</f>
        <v/>
      </c>
      <c r="H183" s="71">
        <f>IF($B183="",0,SUMIFS(Ventas!$P$5:$P$504,Ventas!$B$5:$B$504,$A183,Ventas!$C$5:$C$504,$B183))</f>
        <v/>
      </c>
      <c r="I183" s="72">
        <f>IF($F183=0,0,$F183/Inicio!$C$22)</f>
        <v/>
      </c>
      <c r="J183" s="73">
        <f>IF($I183=0,"",ROUND($E183/$I183,0))</f>
        <v/>
      </c>
      <c r="K183" s="71">
        <f>IF($B183="",0,$E183*IFERROR(INDEX(Productos!$G$5:$G$124,MATCH($B183,Productos!$A$5:$A$124,0)),0))</f>
        <v/>
      </c>
      <c r="L183" s="71">
        <f>IF($K183=0,0,$K183*Inicio!$C$25/365*Inicio!$C$22)</f>
        <v/>
      </c>
      <c r="M183" s="73">
        <f>IF($B183="","",IF(SUMIF($B$5:$B$304,$B183,$F$5:$F$304)=0,"",ROUND(SUMIF($B$5:$B$304,$B183,$E$5:$E$304)/(SUMIF($B$5:$B$304,$B183,$F$5:$F$304)/Inicio!$C$22),0)))</f>
        <v/>
      </c>
      <c r="N183" s="74">
        <f>IF($B183="","",IF(AND($E183&lt;=0,$F183&gt;0),"QUIEBRE",IF(AND($F183=0,$E183&gt;0),"SIN ROTACIÓN",IF($J183="","",IF($J183&lt;Inicio!$C$23,"RIESGO DE QUIEBRE",IF($J183&gt;Inicio!$C$24*1.5,"EXCESO","SANO"))))))</f>
        <v/>
      </c>
      <c r="O183" s="74">
        <f>IF($M183="","",IF($J183="","",IF($J183&gt;2*$M183,"ENVIAR a otra tienda",IF($J183&lt;0.5*$M183,"PEDIR traslado","—"))))</f>
        <v/>
      </c>
    </row>
    <row r="184" ht="15" customHeight="1" s="47">
      <c r="A184" s="182" t="inlineStr">
        <is>
          <t>T05</t>
        </is>
      </c>
      <c r="B184" s="182" t="inlineStr">
        <is>
          <t>EL-016</t>
        </is>
      </c>
      <c r="C184" s="59">
        <f>IFERROR(INDEX(Productos!$B$5:$B$124,MATCH($B184,Productos!$A$5:$A$124,0)),"")</f>
        <v/>
      </c>
      <c r="D184" s="59">
        <f>IFERROR(INDEX(Productos!$D$5:$D$124,MATCH($B184,Productos!$A$5:$A$124,0)),"")</f>
        <v/>
      </c>
      <c r="E184" s="186" t="n">
        <v>0</v>
      </c>
      <c r="F184" s="70">
        <f>IF($B184="",0,SUMIFS(Ventas!$F$5:$F$504,Ventas!$B$5:$B$504,$A184,Ventas!$C$5:$C$504,$B184))</f>
        <v/>
      </c>
      <c r="G184" s="71">
        <f>IF($B184="",0,SUMIFS(Ventas!$L$5:$L$504,Ventas!$B$5:$B$504,$A184,Ventas!$C$5:$C$504,$B184))</f>
        <v/>
      </c>
      <c r="H184" s="71">
        <f>IF($B184="",0,SUMIFS(Ventas!$P$5:$P$504,Ventas!$B$5:$B$504,$A184,Ventas!$C$5:$C$504,$B184))</f>
        <v/>
      </c>
      <c r="I184" s="72">
        <f>IF($F184=0,0,$F184/Inicio!$C$22)</f>
        <v/>
      </c>
      <c r="J184" s="73">
        <f>IF($I184=0,"",ROUND($E184/$I184,0))</f>
        <v/>
      </c>
      <c r="K184" s="71">
        <f>IF($B184="",0,$E184*IFERROR(INDEX(Productos!$G$5:$G$124,MATCH($B184,Productos!$A$5:$A$124,0)),0))</f>
        <v/>
      </c>
      <c r="L184" s="71">
        <f>IF($K184=0,0,$K184*Inicio!$C$25/365*Inicio!$C$22)</f>
        <v/>
      </c>
      <c r="M184" s="73">
        <f>IF($B184="","",IF(SUMIF($B$5:$B$304,$B184,$F$5:$F$304)=0,"",ROUND(SUMIF($B$5:$B$304,$B184,$E$5:$E$304)/(SUMIF($B$5:$B$304,$B184,$F$5:$F$304)/Inicio!$C$22),0)))</f>
        <v/>
      </c>
      <c r="N184" s="74">
        <f>IF($B184="","",IF(AND($E184&lt;=0,$F184&gt;0),"QUIEBRE",IF(AND($F184=0,$E184&gt;0),"SIN ROTACIÓN",IF($J184="","",IF($J184&lt;Inicio!$C$23,"RIESGO DE QUIEBRE",IF($J184&gt;Inicio!$C$24*1.5,"EXCESO","SANO"))))))</f>
        <v/>
      </c>
      <c r="O184" s="74">
        <f>IF($M184="","",IF($J184="","",IF($J184&gt;2*$M184,"ENVIAR a otra tienda",IF($J184&lt;0.5*$M184,"PEDIR traslado","—"))))</f>
        <v/>
      </c>
    </row>
    <row r="185" ht="15" customHeight="1" s="47">
      <c r="A185" s="182" t="inlineStr">
        <is>
          <t>T05</t>
        </is>
      </c>
      <c r="B185" s="182" t="inlineStr">
        <is>
          <t>EL-017</t>
        </is>
      </c>
      <c r="C185" s="59">
        <f>IFERROR(INDEX(Productos!$B$5:$B$124,MATCH($B185,Productos!$A$5:$A$124,0)),"")</f>
        <v/>
      </c>
      <c r="D185" s="59">
        <f>IFERROR(INDEX(Productos!$D$5:$D$124,MATCH($B185,Productos!$A$5:$A$124,0)),"")</f>
        <v/>
      </c>
      <c r="E185" s="186" t="n">
        <v>2</v>
      </c>
      <c r="F185" s="70">
        <f>IF($B185="",0,SUMIFS(Ventas!$F$5:$F$504,Ventas!$B$5:$B$504,$A185,Ventas!$C$5:$C$504,$B185))</f>
        <v/>
      </c>
      <c r="G185" s="71">
        <f>IF($B185="",0,SUMIFS(Ventas!$L$5:$L$504,Ventas!$B$5:$B$504,$A185,Ventas!$C$5:$C$504,$B185))</f>
        <v/>
      </c>
      <c r="H185" s="71">
        <f>IF($B185="",0,SUMIFS(Ventas!$P$5:$P$504,Ventas!$B$5:$B$504,$A185,Ventas!$C$5:$C$504,$B185))</f>
        <v/>
      </c>
      <c r="I185" s="72">
        <f>IF($F185=0,0,$F185/Inicio!$C$22)</f>
        <v/>
      </c>
      <c r="J185" s="73">
        <f>IF($I185=0,"",ROUND($E185/$I185,0))</f>
        <v/>
      </c>
      <c r="K185" s="71">
        <f>IF($B185="",0,$E185*IFERROR(INDEX(Productos!$G$5:$G$124,MATCH($B185,Productos!$A$5:$A$124,0)),0))</f>
        <v/>
      </c>
      <c r="L185" s="71">
        <f>IF($K185=0,0,$K185*Inicio!$C$25/365*Inicio!$C$22)</f>
        <v/>
      </c>
      <c r="M185" s="73">
        <f>IF($B185="","",IF(SUMIF($B$5:$B$304,$B185,$F$5:$F$304)=0,"",ROUND(SUMIF($B$5:$B$304,$B185,$E$5:$E$304)/(SUMIF($B$5:$B$304,$B185,$F$5:$F$304)/Inicio!$C$22),0)))</f>
        <v/>
      </c>
      <c r="N185" s="74">
        <f>IF($B185="","",IF(AND($E185&lt;=0,$F185&gt;0),"QUIEBRE",IF(AND($F185=0,$E185&gt;0),"SIN ROTACIÓN",IF($J185="","",IF($J185&lt;Inicio!$C$23,"RIESGO DE QUIEBRE",IF($J185&gt;Inicio!$C$24*1.5,"EXCESO","SANO"))))))</f>
        <v/>
      </c>
      <c r="O185" s="74">
        <f>IF($M185="","",IF($J185="","",IF($J185&gt;2*$M185,"ENVIAR a otra tienda",IF($J185&lt;0.5*$M185,"PEDIR traslado","—"))))</f>
        <v/>
      </c>
    </row>
    <row r="186" ht="15" customHeight="1" s="47">
      <c r="A186" s="182" t="inlineStr">
        <is>
          <t>T05</t>
        </is>
      </c>
      <c r="B186" s="182" t="inlineStr">
        <is>
          <t>EL-018</t>
        </is>
      </c>
      <c r="C186" s="59">
        <f>IFERROR(INDEX(Productos!$B$5:$B$124,MATCH($B186,Productos!$A$5:$A$124,0)),"")</f>
        <v/>
      </c>
      <c r="D186" s="59">
        <f>IFERROR(INDEX(Productos!$D$5:$D$124,MATCH($B186,Productos!$A$5:$A$124,0)),"")</f>
        <v/>
      </c>
      <c r="E186" s="186" t="n">
        <v>9</v>
      </c>
      <c r="F186" s="70">
        <f>IF($B186="",0,SUMIFS(Ventas!$F$5:$F$504,Ventas!$B$5:$B$504,$A186,Ventas!$C$5:$C$504,$B186))</f>
        <v/>
      </c>
      <c r="G186" s="71">
        <f>IF($B186="",0,SUMIFS(Ventas!$L$5:$L$504,Ventas!$B$5:$B$504,$A186,Ventas!$C$5:$C$504,$B186))</f>
        <v/>
      </c>
      <c r="H186" s="71">
        <f>IF($B186="",0,SUMIFS(Ventas!$P$5:$P$504,Ventas!$B$5:$B$504,$A186,Ventas!$C$5:$C$504,$B186))</f>
        <v/>
      </c>
      <c r="I186" s="72">
        <f>IF($F186=0,0,$F186/Inicio!$C$22)</f>
        <v/>
      </c>
      <c r="J186" s="73">
        <f>IF($I186=0,"",ROUND($E186/$I186,0))</f>
        <v/>
      </c>
      <c r="K186" s="71">
        <f>IF($B186="",0,$E186*IFERROR(INDEX(Productos!$G$5:$G$124,MATCH($B186,Productos!$A$5:$A$124,0)),0))</f>
        <v/>
      </c>
      <c r="L186" s="71">
        <f>IF($K186=0,0,$K186*Inicio!$C$25/365*Inicio!$C$22)</f>
        <v/>
      </c>
      <c r="M186" s="73">
        <f>IF($B186="","",IF(SUMIF($B$5:$B$304,$B186,$F$5:$F$304)=0,"",ROUND(SUMIF($B$5:$B$304,$B186,$E$5:$E$304)/(SUMIF($B$5:$B$304,$B186,$F$5:$F$304)/Inicio!$C$22),0)))</f>
        <v/>
      </c>
      <c r="N186" s="74">
        <f>IF($B186="","",IF(AND($E186&lt;=0,$F186&gt;0),"QUIEBRE",IF(AND($F186=0,$E186&gt;0),"SIN ROTACIÓN",IF($J186="","",IF($J186&lt;Inicio!$C$23,"RIESGO DE QUIEBRE",IF($J186&gt;Inicio!$C$24*1.5,"EXCESO","SANO"))))))</f>
        <v/>
      </c>
      <c r="O186" s="74">
        <f>IF($M186="","",IF($J186="","",IF($J186&gt;2*$M186,"ENVIAR a otra tienda",IF($J186&lt;0.5*$M186,"PEDIR traslado","—"))))</f>
        <v/>
      </c>
    </row>
    <row r="187" ht="15" customHeight="1" s="47">
      <c r="A187" s="182" t="inlineStr">
        <is>
          <t>T05</t>
        </is>
      </c>
      <c r="B187" s="182" t="inlineStr">
        <is>
          <t>EL-019</t>
        </is>
      </c>
      <c r="C187" s="59">
        <f>IFERROR(INDEX(Productos!$B$5:$B$124,MATCH($B187,Productos!$A$5:$A$124,0)),"")</f>
        <v/>
      </c>
      <c r="D187" s="59">
        <f>IFERROR(INDEX(Productos!$D$5:$D$124,MATCH($B187,Productos!$A$5:$A$124,0)),"")</f>
        <v/>
      </c>
      <c r="E187" s="186" t="n">
        <v>4</v>
      </c>
      <c r="F187" s="70">
        <f>IF($B187="",0,SUMIFS(Ventas!$F$5:$F$504,Ventas!$B$5:$B$504,$A187,Ventas!$C$5:$C$504,$B187))</f>
        <v/>
      </c>
      <c r="G187" s="71">
        <f>IF($B187="",0,SUMIFS(Ventas!$L$5:$L$504,Ventas!$B$5:$B$504,$A187,Ventas!$C$5:$C$504,$B187))</f>
        <v/>
      </c>
      <c r="H187" s="71">
        <f>IF($B187="",0,SUMIFS(Ventas!$P$5:$P$504,Ventas!$B$5:$B$504,$A187,Ventas!$C$5:$C$504,$B187))</f>
        <v/>
      </c>
      <c r="I187" s="72">
        <f>IF($F187=0,0,$F187/Inicio!$C$22)</f>
        <v/>
      </c>
      <c r="J187" s="73">
        <f>IF($I187=0,"",ROUND($E187/$I187,0))</f>
        <v/>
      </c>
      <c r="K187" s="71">
        <f>IF($B187="",0,$E187*IFERROR(INDEX(Productos!$G$5:$G$124,MATCH($B187,Productos!$A$5:$A$124,0)),0))</f>
        <v/>
      </c>
      <c r="L187" s="71">
        <f>IF($K187=0,0,$K187*Inicio!$C$25/365*Inicio!$C$22)</f>
        <v/>
      </c>
      <c r="M187" s="73">
        <f>IF($B187="","",IF(SUMIF($B$5:$B$304,$B187,$F$5:$F$304)=0,"",ROUND(SUMIF($B$5:$B$304,$B187,$E$5:$E$304)/(SUMIF($B$5:$B$304,$B187,$F$5:$F$304)/Inicio!$C$22),0)))</f>
        <v/>
      </c>
      <c r="N187" s="74">
        <f>IF($B187="","",IF(AND($E187&lt;=0,$F187&gt;0),"QUIEBRE",IF(AND($F187=0,$E187&gt;0),"SIN ROTACIÓN",IF($J187="","",IF($J187&lt;Inicio!$C$23,"RIESGO DE QUIEBRE",IF($J187&gt;Inicio!$C$24*1.5,"EXCESO","SANO"))))))</f>
        <v/>
      </c>
      <c r="O187" s="74">
        <f>IF($M187="","",IF($J187="","",IF($J187&gt;2*$M187,"ENVIAR a otra tienda",IF($J187&lt;0.5*$M187,"PEDIR traslado","—"))))</f>
        <v/>
      </c>
    </row>
    <row r="188" ht="15" customHeight="1" s="47">
      <c r="A188" s="182" t="inlineStr">
        <is>
          <t>T05</t>
        </is>
      </c>
      <c r="B188" s="182" t="inlineStr">
        <is>
          <t>EL-020</t>
        </is>
      </c>
      <c r="C188" s="59">
        <f>IFERROR(INDEX(Productos!$B$5:$B$124,MATCH($B188,Productos!$A$5:$A$124,0)),"")</f>
        <v/>
      </c>
      <c r="D188" s="59">
        <f>IFERROR(INDEX(Productos!$D$5:$D$124,MATCH($B188,Productos!$A$5:$A$124,0)),"")</f>
        <v/>
      </c>
      <c r="E188" s="186" t="n">
        <v>8</v>
      </c>
      <c r="F188" s="70">
        <f>IF($B188="",0,SUMIFS(Ventas!$F$5:$F$504,Ventas!$B$5:$B$504,$A188,Ventas!$C$5:$C$504,$B188))</f>
        <v/>
      </c>
      <c r="G188" s="71">
        <f>IF($B188="",0,SUMIFS(Ventas!$L$5:$L$504,Ventas!$B$5:$B$504,$A188,Ventas!$C$5:$C$504,$B188))</f>
        <v/>
      </c>
      <c r="H188" s="71">
        <f>IF($B188="",0,SUMIFS(Ventas!$P$5:$P$504,Ventas!$B$5:$B$504,$A188,Ventas!$C$5:$C$504,$B188))</f>
        <v/>
      </c>
      <c r="I188" s="72">
        <f>IF($F188=0,0,$F188/Inicio!$C$22)</f>
        <v/>
      </c>
      <c r="J188" s="73">
        <f>IF($I188=0,"",ROUND($E188/$I188,0))</f>
        <v/>
      </c>
      <c r="K188" s="71">
        <f>IF($B188="",0,$E188*IFERROR(INDEX(Productos!$G$5:$G$124,MATCH($B188,Productos!$A$5:$A$124,0)),0))</f>
        <v/>
      </c>
      <c r="L188" s="71">
        <f>IF($K188=0,0,$K188*Inicio!$C$25/365*Inicio!$C$22)</f>
        <v/>
      </c>
      <c r="M188" s="73">
        <f>IF($B188="","",IF(SUMIF($B$5:$B$304,$B188,$F$5:$F$304)=0,"",ROUND(SUMIF($B$5:$B$304,$B188,$E$5:$E$304)/(SUMIF($B$5:$B$304,$B188,$F$5:$F$304)/Inicio!$C$22),0)))</f>
        <v/>
      </c>
      <c r="N188" s="74">
        <f>IF($B188="","",IF(AND($E188&lt;=0,$F188&gt;0),"QUIEBRE",IF(AND($F188=0,$E188&gt;0),"SIN ROTACIÓN",IF($J188="","",IF($J188&lt;Inicio!$C$23,"RIESGO DE QUIEBRE",IF($J188&gt;Inicio!$C$24*1.5,"EXCESO","SANO"))))))</f>
        <v/>
      </c>
      <c r="O188" s="74">
        <f>IF($M188="","",IF($J188="","",IF($J188&gt;2*$M188,"ENVIAR a otra tienda",IF($J188&lt;0.5*$M188,"PEDIR traslado","—"))))</f>
        <v/>
      </c>
    </row>
    <row r="189" ht="15" customHeight="1" s="47">
      <c r="A189" s="182" t="inlineStr">
        <is>
          <t>T05</t>
        </is>
      </c>
      <c r="B189" s="182" t="inlineStr">
        <is>
          <t>EL-021</t>
        </is>
      </c>
      <c r="C189" s="59">
        <f>IFERROR(INDEX(Productos!$B$5:$B$124,MATCH($B189,Productos!$A$5:$A$124,0)),"")</f>
        <v/>
      </c>
      <c r="D189" s="59">
        <f>IFERROR(INDEX(Productos!$D$5:$D$124,MATCH($B189,Productos!$A$5:$A$124,0)),"")</f>
        <v/>
      </c>
      <c r="E189" s="186" t="n">
        <v>4</v>
      </c>
      <c r="F189" s="70">
        <f>IF($B189="",0,SUMIFS(Ventas!$F$5:$F$504,Ventas!$B$5:$B$504,$A189,Ventas!$C$5:$C$504,$B189))</f>
        <v/>
      </c>
      <c r="G189" s="71">
        <f>IF($B189="",0,SUMIFS(Ventas!$L$5:$L$504,Ventas!$B$5:$B$504,$A189,Ventas!$C$5:$C$504,$B189))</f>
        <v/>
      </c>
      <c r="H189" s="71">
        <f>IF($B189="",0,SUMIFS(Ventas!$P$5:$P$504,Ventas!$B$5:$B$504,$A189,Ventas!$C$5:$C$504,$B189))</f>
        <v/>
      </c>
      <c r="I189" s="72">
        <f>IF($F189=0,0,$F189/Inicio!$C$22)</f>
        <v/>
      </c>
      <c r="J189" s="73">
        <f>IF($I189=0,"",ROUND($E189/$I189,0))</f>
        <v/>
      </c>
      <c r="K189" s="71">
        <f>IF($B189="",0,$E189*IFERROR(INDEX(Productos!$G$5:$G$124,MATCH($B189,Productos!$A$5:$A$124,0)),0))</f>
        <v/>
      </c>
      <c r="L189" s="71">
        <f>IF($K189=0,0,$K189*Inicio!$C$25/365*Inicio!$C$22)</f>
        <v/>
      </c>
      <c r="M189" s="73">
        <f>IF($B189="","",IF(SUMIF($B$5:$B$304,$B189,$F$5:$F$304)=0,"",ROUND(SUMIF($B$5:$B$304,$B189,$E$5:$E$304)/(SUMIF($B$5:$B$304,$B189,$F$5:$F$304)/Inicio!$C$22),0)))</f>
        <v/>
      </c>
      <c r="N189" s="74">
        <f>IF($B189="","",IF(AND($E189&lt;=0,$F189&gt;0),"QUIEBRE",IF(AND($F189=0,$E189&gt;0),"SIN ROTACIÓN",IF($J189="","",IF($J189&lt;Inicio!$C$23,"RIESGO DE QUIEBRE",IF($J189&gt;Inicio!$C$24*1.5,"EXCESO","SANO"))))))</f>
        <v/>
      </c>
      <c r="O189" s="74">
        <f>IF($M189="","",IF($J189="","",IF($J189&gt;2*$M189,"ENVIAR a otra tienda",IF($J189&lt;0.5*$M189,"PEDIR traslado","—"))))</f>
        <v/>
      </c>
    </row>
    <row r="190" ht="15" customHeight="1" s="47">
      <c r="A190" s="182" t="inlineStr">
        <is>
          <t>T05</t>
        </is>
      </c>
      <c r="B190" s="182" t="inlineStr">
        <is>
          <t>EL-023</t>
        </is>
      </c>
      <c r="C190" s="59">
        <f>IFERROR(INDEX(Productos!$B$5:$B$124,MATCH($B190,Productos!$A$5:$A$124,0)),"")</f>
        <v/>
      </c>
      <c r="D190" s="59">
        <f>IFERROR(INDEX(Productos!$D$5:$D$124,MATCH($B190,Productos!$A$5:$A$124,0)),"")</f>
        <v/>
      </c>
      <c r="E190" s="186" t="n">
        <v>3</v>
      </c>
      <c r="F190" s="70">
        <f>IF($B190="",0,SUMIFS(Ventas!$F$5:$F$504,Ventas!$B$5:$B$504,$A190,Ventas!$C$5:$C$504,$B190))</f>
        <v/>
      </c>
      <c r="G190" s="71">
        <f>IF($B190="",0,SUMIFS(Ventas!$L$5:$L$504,Ventas!$B$5:$B$504,$A190,Ventas!$C$5:$C$504,$B190))</f>
        <v/>
      </c>
      <c r="H190" s="71">
        <f>IF($B190="",0,SUMIFS(Ventas!$P$5:$P$504,Ventas!$B$5:$B$504,$A190,Ventas!$C$5:$C$504,$B190))</f>
        <v/>
      </c>
      <c r="I190" s="72">
        <f>IF($F190=0,0,$F190/Inicio!$C$22)</f>
        <v/>
      </c>
      <c r="J190" s="73">
        <f>IF($I190=0,"",ROUND($E190/$I190,0))</f>
        <v/>
      </c>
      <c r="K190" s="71">
        <f>IF($B190="",0,$E190*IFERROR(INDEX(Productos!$G$5:$G$124,MATCH($B190,Productos!$A$5:$A$124,0)),0))</f>
        <v/>
      </c>
      <c r="L190" s="71">
        <f>IF($K190=0,0,$K190*Inicio!$C$25/365*Inicio!$C$22)</f>
        <v/>
      </c>
      <c r="M190" s="73">
        <f>IF($B190="","",IF(SUMIF($B$5:$B$304,$B190,$F$5:$F$304)=0,"",ROUND(SUMIF($B$5:$B$304,$B190,$E$5:$E$304)/(SUMIF($B$5:$B$304,$B190,$F$5:$F$304)/Inicio!$C$22),0)))</f>
        <v/>
      </c>
      <c r="N190" s="74">
        <f>IF($B190="","",IF(AND($E190&lt;=0,$F190&gt;0),"QUIEBRE",IF(AND($F190=0,$E190&gt;0),"SIN ROTACIÓN",IF($J190="","",IF($J190&lt;Inicio!$C$23,"RIESGO DE QUIEBRE",IF($J190&gt;Inicio!$C$24*1.5,"EXCESO","SANO"))))))</f>
        <v/>
      </c>
      <c r="O190" s="74">
        <f>IF($M190="","",IF($J190="","",IF($J190&gt;2*$M190,"ENVIAR a otra tienda",IF($J190&lt;0.5*$M190,"PEDIR traslado","—"))))</f>
        <v/>
      </c>
    </row>
    <row r="191" ht="15" customHeight="1" s="47">
      <c r="A191" s="182" t="inlineStr">
        <is>
          <t>T05</t>
        </is>
      </c>
      <c r="B191" s="182" t="inlineStr">
        <is>
          <t>EL-024</t>
        </is>
      </c>
      <c r="C191" s="59">
        <f>IFERROR(INDEX(Productos!$B$5:$B$124,MATCH($B191,Productos!$A$5:$A$124,0)),"")</f>
        <v/>
      </c>
      <c r="D191" s="59">
        <f>IFERROR(INDEX(Productos!$D$5:$D$124,MATCH($B191,Productos!$A$5:$A$124,0)),"")</f>
        <v/>
      </c>
      <c r="E191" s="186" t="n">
        <v>6</v>
      </c>
      <c r="F191" s="70">
        <f>IF($B191="",0,SUMIFS(Ventas!$F$5:$F$504,Ventas!$B$5:$B$504,$A191,Ventas!$C$5:$C$504,$B191))</f>
        <v/>
      </c>
      <c r="G191" s="71">
        <f>IF($B191="",0,SUMIFS(Ventas!$L$5:$L$504,Ventas!$B$5:$B$504,$A191,Ventas!$C$5:$C$504,$B191))</f>
        <v/>
      </c>
      <c r="H191" s="71">
        <f>IF($B191="",0,SUMIFS(Ventas!$P$5:$P$504,Ventas!$B$5:$B$504,$A191,Ventas!$C$5:$C$504,$B191))</f>
        <v/>
      </c>
      <c r="I191" s="72">
        <f>IF($F191=0,0,$F191/Inicio!$C$22)</f>
        <v/>
      </c>
      <c r="J191" s="73">
        <f>IF($I191=0,"",ROUND($E191/$I191,0))</f>
        <v/>
      </c>
      <c r="K191" s="71">
        <f>IF($B191="",0,$E191*IFERROR(INDEX(Productos!$G$5:$G$124,MATCH($B191,Productos!$A$5:$A$124,0)),0))</f>
        <v/>
      </c>
      <c r="L191" s="71">
        <f>IF($K191=0,0,$K191*Inicio!$C$25/365*Inicio!$C$22)</f>
        <v/>
      </c>
      <c r="M191" s="73">
        <f>IF($B191="","",IF(SUMIF($B$5:$B$304,$B191,$F$5:$F$304)=0,"",ROUND(SUMIF($B$5:$B$304,$B191,$E$5:$E$304)/(SUMIF($B$5:$B$304,$B191,$F$5:$F$304)/Inicio!$C$22),0)))</f>
        <v/>
      </c>
      <c r="N191" s="74">
        <f>IF($B191="","",IF(AND($E191&lt;=0,$F191&gt;0),"QUIEBRE",IF(AND($F191=0,$E191&gt;0),"SIN ROTACIÓN",IF($J191="","",IF($J191&lt;Inicio!$C$23,"RIESGO DE QUIEBRE",IF($J191&gt;Inicio!$C$24*1.5,"EXCESO","SANO"))))))</f>
        <v/>
      </c>
      <c r="O191" s="74">
        <f>IF($M191="","",IF($J191="","",IF($J191&gt;2*$M191,"ENVIAR a otra tienda",IF($J191&lt;0.5*$M191,"PEDIR traslado","—"))))</f>
        <v/>
      </c>
    </row>
    <row r="192" ht="15" customHeight="1" s="47">
      <c r="A192" s="182" t="inlineStr">
        <is>
          <t>T05</t>
        </is>
      </c>
      <c r="B192" s="182" t="inlineStr">
        <is>
          <t>EL-025</t>
        </is>
      </c>
      <c r="C192" s="59">
        <f>IFERROR(INDEX(Productos!$B$5:$B$124,MATCH($B192,Productos!$A$5:$A$124,0)),"")</f>
        <v/>
      </c>
      <c r="D192" s="59">
        <f>IFERROR(INDEX(Productos!$D$5:$D$124,MATCH($B192,Productos!$A$5:$A$124,0)),"")</f>
        <v/>
      </c>
      <c r="E192" s="186" t="n">
        <v>11</v>
      </c>
      <c r="F192" s="70">
        <f>IF($B192="",0,SUMIFS(Ventas!$F$5:$F$504,Ventas!$B$5:$B$504,$A192,Ventas!$C$5:$C$504,$B192))</f>
        <v/>
      </c>
      <c r="G192" s="71">
        <f>IF($B192="",0,SUMIFS(Ventas!$L$5:$L$504,Ventas!$B$5:$B$504,$A192,Ventas!$C$5:$C$504,$B192))</f>
        <v/>
      </c>
      <c r="H192" s="71">
        <f>IF($B192="",0,SUMIFS(Ventas!$P$5:$P$504,Ventas!$B$5:$B$504,$A192,Ventas!$C$5:$C$504,$B192))</f>
        <v/>
      </c>
      <c r="I192" s="72">
        <f>IF($F192=0,0,$F192/Inicio!$C$22)</f>
        <v/>
      </c>
      <c r="J192" s="73">
        <f>IF($I192=0,"",ROUND($E192/$I192,0))</f>
        <v/>
      </c>
      <c r="K192" s="71">
        <f>IF($B192="",0,$E192*IFERROR(INDEX(Productos!$G$5:$G$124,MATCH($B192,Productos!$A$5:$A$124,0)),0))</f>
        <v/>
      </c>
      <c r="L192" s="71">
        <f>IF($K192=0,0,$K192*Inicio!$C$25/365*Inicio!$C$22)</f>
        <v/>
      </c>
      <c r="M192" s="73">
        <f>IF($B192="","",IF(SUMIF($B$5:$B$304,$B192,$F$5:$F$304)=0,"",ROUND(SUMIF($B$5:$B$304,$B192,$E$5:$E$304)/(SUMIF($B$5:$B$304,$B192,$F$5:$F$304)/Inicio!$C$22),0)))</f>
        <v/>
      </c>
      <c r="N192" s="74">
        <f>IF($B192="","",IF(AND($E192&lt;=0,$F192&gt;0),"QUIEBRE",IF(AND($F192=0,$E192&gt;0),"SIN ROTACIÓN",IF($J192="","",IF($J192&lt;Inicio!$C$23,"RIESGO DE QUIEBRE",IF($J192&gt;Inicio!$C$24*1.5,"EXCESO","SANO"))))))</f>
        <v/>
      </c>
      <c r="O192" s="74">
        <f>IF($M192="","",IF($J192="","",IF($J192&gt;2*$M192,"ENVIAR a otra tienda",IF($J192&lt;0.5*$M192,"PEDIR traslado","—"))))</f>
        <v/>
      </c>
    </row>
    <row r="193" ht="15" customHeight="1" s="47">
      <c r="A193" s="182" t="inlineStr">
        <is>
          <t>T05</t>
        </is>
      </c>
      <c r="B193" s="182" t="inlineStr">
        <is>
          <t>EL-026</t>
        </is>
      </c>
      <c r="C193" s="59">
        <f>IFERROR(INDEX(Productos!$B$5:$B$124,MATCH($B193,Productos!$A$5:$A$124,0)),"")</f>
        <v/>
      </c>
      <c r="D193" s="59">
        <f>IFERROR(INDEX(Productos!$D$5:$D$124,MATCH($B193,Productos!$A$5:$A$124,0)),"")</f>
        <v/>
      </c>
      <c r="E193" s="186" t="n">
        <v>36</v>
      </c>
      <c r="F193" s="70">
        <f>IF($B193="",0,SUMIFS(Ventas!$F$5:$F$504,Ventas!$B$5:$B$504,$A193,Ventas!$C$5:$C$504,$B193))</f>
        <v/>
      </c>
      <c r="G193" s="71">
        <f>IF($B193="",0,SUMIFS(Ventas!$L$5:$L$504,Ventas!$B$5:$B$504,$A193,Ventas!$C$5:$C$504,$B193))</f>
        <v/>
      </c>
      <c r="H193" s="71">
        <f>IF($B193="",0,SUMIFS(Ventas!$P$5:$P$504,Ventas!$B$5:$B$504,$A193,Ventas!$C$5:$C$504,$B193))</f>
        <v/>
      </c>
      <c r="I193" s="72">
        <f>IF($F193=0,0,$F193/Inicio!$C$22)</f>
        <v/>
      </c>
      <c r="J193" s="73">
        <f>IF($I193=0,"",ROUND($E193/$I193,0))</f>
        <v/>
      </c>
      <c r="K193" s="71">
        <f>IF($B193="",0,$E193*IFERROR(INDEX(Productos!$G$5:$G$124,MATCH($B193,Productos!$A$5:$A$124,0)),0))</f>
        <v/>
      </c>
      <c r="L193" s="71">
        <f>IF($K193=0,0,$K193*Inicio!$C$25/365*Inicio!$C$22)</f>
        <v/>
      </c>
      <c r="M193" s="73">
        <f>IF($B193="","",IF(SUMIF($B$5:$B$304,$B193,$F$5:$F$304)=0,"",ROUND(SUMIF($B$5:$B$304,$B193,$E$5:$E$304)/(SUMIF($B$5:$B$304,$B193,$F$5:$F$304)/Inicio!$C$22),0)))</f>
        <v/>
      </c>
      <c r="N193" s="74">
        <f>IF($B193="","",IF(AND($E193&lt;=0,$F193&gt;0),"QUIEBRE",IF(AND($F193=0,$E193&gt;0),"SIN ROTACIÓN",IF($J193="","",IF($J193&lt;Inicio!$C$23,"RIESGO DE QUIEBRE",IF($J193&gt;Inicio!$C$24*1.5,"EXCESO","SANO"))))))</f>
        <v/>
      </c>
      <c r="O193" s="74">
        <f>IF($M193="","",IF($J193="","",IF($J193&gt;2*$M193,"ENVIAR a otra tienda",IF($J193&lt;0.5*$M193,"PEDIR traslado","—"))))</f>
        <v/>
      </c>
    </row>
    <row r="194" ht="15" customHeight="1" s="47">
      <c r="A194" s="182" t="inlineStr">
        <is>
          <t>T05</t>
        </is>
      </c>
      <c r="B194" s="182" t="inlineStr">
        <is>
          <t>EL-027</t>
        </is>
      </c>
      <c r="C194" s="59">
        <f>IFERROR(INDEX(Productos!$B$5:$B$124,MATCH($B194,Productos!$A$5:$A$124,0)),"")</f>
        <v/>
      </c>
      <c r="D194" s="59">
        <f>IFERROR(INDEX(Productos!$D$5:$D$124,MATCH($B194,Productos!$A$5:$A$124,0)),"")</f>
        <v/>
      </c>
      <c r="E194" s="186" t="n">
        <v>0</v>
      </c>
      <c r="F194" s="70">
        <f>IF($B194="",0,SUMIFS(Ventas!$F$5:$F$504,Ventas!$B$5:$B$504,$A194,Ventas!$C$5:$C$504,$B194))</f>
        <v/>
      </c>
      <c r="G194" s="71">
        <f>IF($B194="",0,SUMIFS(Ventas!$L$5:$L$504,Ventas!$B$5:$B$504,$A194,Ventas!$C$5:$C$504,$B194))</f>
        <v/>
      </c>
      <c r="H194" s="71">
        <f>IF($B194="",0,SUMIFS(Ventas!$P$5:$P$504,Ventas!$B$5:$B$504,$A194,Ventas!$C$5:$C$504,$B194))</f>
        <v/>
      </c>
      <c r="I194" s="72">
        <f>IF($F194=0,0,$F194/Inicio!$C$22)</f>
        <v/>
      </c>
      <c r="J194" s="73">
        <f>IF($I194=0,"",ROUND($E194/$I194,0))</f>
        <v/>
      </c>
      <c r="K194" s="71">
        <f>IF($B194="",0,$E194*IFERROR(INDEX(Productos!$G$5:$G$124,MATCH($B194,Productos!$A$5:$A$124,0)),0))</f>
        <v/>
      </c>
      <c r="L194" s="71">
        <f>IF($K194=0,0,$K194*Inicio!$C$25/365*Inicio!$C$22)</f>
        <v/>
      </c>
      <c r="M194" s="73">
        <f>IF($B194="","",IF(SUMIF($B$5:$B$304,$B194,$F$5:$F$304)=0,"",ROUND(SUMIF($B$5:$B$304,$B194,$E$5:$E$304)/(SUMIF($B$5:$B$304,$B194,$F$5:$F$304)/Inicio!$C$22),0)))</f>
        <v/>
      </c>
      <c r="N194" s="74">
        <f>IF($B194="","",IF(AND($E194&lt;=0,$F194&gt;0),"QUIEBRE",IF(AND($F194=0,$E194&gt;0),"SIN ROTACIÓN",IF($J194="","",IF($J194&lt;Inicio!$C$23,"RIESGO DE QUIEBRE",IF($J194&gt;Inicio!$C$24*1.5,"EXCESO","SANO"))))))</f>
        <v/>
      </c>
      <c r="O194" s="74">
        <f>IF($M194="","",IF($J194="","",IF($J194&gt;2*$M194,"ENVIAR a otra tienda",IF($J194&lt;0.5*$M194,"PEDIR traslado","—"))))</f>
        <v/>
      </c>
    </row>
    <row r="195" ht="15" customHeight="1" s="47">
      <c r="A195" s="182" t="inlineStr">
        <is>
          <t>T05</t>
        </is>
      </c>
      <c r="B195" s="182" t="inlineStr">
        <is>
          <t>EL-028</t>
        </is>
      </c>
      <c r="C195" s="59">
        <f>IFERROR(INDEX(Productos!$B$5:$B$124,MATCH($B195,Productos!$A$5:$A$124,0)),"")</f>
        <v/>
      </c>
      <c r="D195" s="59">
        <f>IFERROR(INDEX(Productos!$D$5:$D$124,MATCH($B195,Productos!$A$5:$A$124,0)),"")</f>
        <v/>
      </c>
      <c r="E195" s="186" t="n">
        <v>1</v>
      </c>
      <c r="F195" s="70">
        <f>IF($B195="",0,SUMIFS(Ventas!$F$5:$F$504,Ventas!$B$5:$B$504,$A195,Ventas!$C$5:$C$504,$B195))</f>
        <v/>
      </c>
      <c r="G195" s="71">
        <f>IF($B195="",0,SUMIFS(Ventas!$L$5:$L$504,Ventas!$B$5:$B$504,$A195,Ventas!$C$5:$C$504,$B195))</f>
        <v/>
      </c>
      <c r="H195" s="71">
        <f>IF($B195="",0,SUMIFS(Ventas!$P$5:$P$504,Ventas!$B$5:$B$504,$A195,Ventas!$C$5:$C$504,$B195))</f>
        <v/>
      </c>
      <c r="I195" s="72">
        <f>IF($F195=0,0,$F195/Inicio!$C$22)</f>
        <v/>
      </c>
      <c r="J195" s="73">
        <f>IF($I195=0,"",ROUND($E195/$I195,0))</f>
        <v/>
      </c>
      <c r="K195" s="71">
        <f>IF($B195="",0,$E195*IFERROR(INDEX(Productos!$G$5:$G$124,MATCH($B195,Productos!$A$5:$A$124,0)),0))</f>
        <v/>
      </c>
      <c r="L195" s="71">
        <f>IF($K195=0,0,$K195*Inicio!$C$25/365*Inicio!$C$22)</f>
        <v/>
      </c>
      <c r="M195" s="73">
        <f>IF($B195="","",IF(SUMIF($B$5:$B$304,$B195,$F$5:$F$304)=0,"",ROUND(SUMIF($B$5:$B$304,$B195,$E$5:$E$304)/(SUMIF($B$5:$B$304,$B195,$F$5:$F$304)/Inicio!$C$22),0)))</f>
        <v/>
      </c>
      <c r="N195" s="74">
        <f>IF($B195="","",IF(AND($E195&lt;=0,$F195&gt;0),"QUIEBRE",IF(AND($F195=0,$E195&gt;0),"SIN ROTACIÓN",IF($J195="","",IF($J195&lt;Inicio!$C$23,"RIESGO DE QUIEBRE",IF($J195&gt;Inicio!$C$24*1.5,"EXCESO","SANO"))))))</f>
        <v/>
      </c>
      <c r="O195" s="74">
        <f>IF($M195="","",IF($J195="","",IF($J195&gt;2*$M195,"ENVIAR a otra tienda",IF($J195&lt;0.5*$M195,"PEDIR traslado","—"))))</f>
        <v/>
      </c>
    </row>
    <row r="196" ht="15" customHeight="1" s="47">
      <c r="A196" s="182" t="inlineStr">
        <is>
          <t>T05</t>
        </is>
      </c>
      <c r="B196" s="182" t="inlineStr">
        <is>
          <t>EL-029</t>
        </is>
      </c>
      <c r="C196" s="59">
        <f>IFERROR(INDEX(Productos!$B$5:$B$124,MATCH($B196,Productos!$A$5:$A$124,0)),"")</f>
        <v/>
      </c>
      <c r="D196" s="59">
        <f>IFERROR(INDEX(Productos!$D$5:$D$124,MATCH($B196,Productos!$A$5:$A$124,0)),"")</f>
        <v/>
      </c>
      <c r="E196" s="186" t="n">
        <v>2</v>
      </c>
      <c r="F196" s="70">
        <f>IF($B196="",0,SUMIFS(Ventas!$F$5:$F$504,Ventas!$B$5:$B$504,$A196,Ventas!$C$5:$C$504,$B196))</f>
        <v/>
      </c>
      <c r="G196" s="71">
        <f>IF($B196="",0,SUMIFS(Ventas!$L$5:$L$504,Ventas!$B$5:$B$504,$A196,Ventas!$C$5:$C$504,$B196))</f>
        <v/>
      </c>
      <c r="H196" s="71">
        <f>IF($B196="",0,SUMIFS(Ventas!$P$5:$P$504,Ventas!$B$5:$B$504,$A196,Ventas!$C$5:$C$504,$B196))</f>
        <v/>
      </c>
      <c r="I196" s="72">
        <f>IF($F196=0,0,$F196/Inicio!$C$22)</f>
        <v/>
      </c>
      <c r="J196" s="73">
        <f>IF($I196=0,"",ROUND($E196/$I196,0))</f>
        <v/>
      </c>
      <c r="K196" s="71">
        <f>IF($B196="",0,$E196*IFERROR(INDEX(Productos!$G$5:$G$124,MATCH($B196,Productos!$A$5:$A$124,0)),0))</f>
        <v/>
      </c>
      <c r="L196" s="71">
        <f>IF($K196=0,0,$K196*Inicio!$C$25/365*Inicio!$C$22)</f>
        <v/>
      </c>
      <c r="M196" s="73">
        <f>IF($B196="","",IF(SUMIF($B$5:$B$304,$B196,$F$5:$F$304)=0,"",ROUND(SUMIF($B$5:$B$304,$B196,$E$5:$E$304)/(SUMIF($B$5:$B$304,$B196,$F$5:$F$304)/Inicio!$C$22),0)))</f>
        <v/>
      </c>
      <c r="N196" s="74">
        <f>IF($B196="","",IF(AND($E196&lt;=0,$F196&gt;0),"QUIEBRE",IF(AND($F196=0,$E196&gt;0),"SIN ROTACIÓN",IF($J196="","",IF($J196&lt;Inicio!$C$23,"RIESGO DE QUIEBRE",IF($J196&gt;Inicio!$C$24*1.5,"EXCESO","SANO"))))))</f>
        <v/>
      </c>
      <c r="O196" s="74">
        <f>IF($M196="","",IF($J196="","",IF($J196&gt;2*$M196,"ENVIAR a otra tienda",IF($J196&lt;0.5*$M196,"PEDIR traslado","—"))))</f>
        <v/>
      </c>
    </row>
    <row r="197" ht="15" customHeight="1" s="47">
      <c r="A197" s="182" t="inlineStr">
        <is>
          <t>T05</t>
        </is>
      </c>
      <c r="B197" s="182" t="inlineStr">
        <is>
          <t>EL-030</t>
        </is>
      </c>
      <c r="C197" s="59">
        <f>IFERROR(INDEX(Productos!$B$5:$B$124,MATCH($B197,Productos!$A$5:$A$124,0)),"")</f>
        <v/>
      </c>
      <c r="D197" s="59">
        <f>IFERROR(INDEX(Productos!$D$5:$D$124,MATCH($B197,Productos!$A$5:$A$124,0)),"")</f>
        <v/>
      </c>
      <c r="E197" s="186" t="n">
        <v>8</v>
      </c>
      <c r="F197" s="70">
        <f>IF($B197="",0,SUMIFS(Ventas!$F$5:$F$504,Ventas!$B$5:$B$504,$A197,Ventas!$C$5:$C$504,$B197))</f>
        <v/>
      </c>
      <c r="G197" s="71">
        <f>IF($B197="",0,SUMIFS(Ventas!$L$5:$L$504,Ventas!$B$5:$B$504,$A197,Ventas!$C$5:$C$504,$B197))</f>
        <v/>
      </c>
      <c r="H197" s="71">
        <f>IF($B197="",0,SUMIFS(Ventas!$P$5:$P$504,Ventas!$B$5:$B$504,$A197,Ventas!$C$5:$C$504,$B197))</f>
        <v/>
      </c>
      <c r="I197" s="72">
        <f>IF($F197=0,0,$F197/Inicio!$C$22)</f>
        <v/>
      </c>
      <c r="J197" s="73">
        <f>IF($I197=0,"",ROUND($E197/$I197,0))</f>
        <v/>
      </c>
      <c r="K197" s="71">
        <f>IF($B197="",0,$E197*IFERROR(INDEX(Productos!$G$5:$G$124,MATCH($B197,Productos!$A$5:$A$124,0)),0))</f>
        <v/>
      </c>
      <c r="L197" s="71">
        <f>IF($K197=0,0,$K197*Inicio!$C$25/365*Inicio!$C$22)</f>
        <v/>
      </c>
      <c r="M197" s="73">
        <f>IF($B197="","",IF(SUMIF($B$5:$B$304,$B197,$F$5:$F$304)=0,"",ROUND(SUMIF($B$5:$B$304,$B197,$E$5:$E$304)/(SUMIF($B$5:$B$304,$B197,$F$5:$F$304)/Inicio!$C$22),0)))</f>
        <v/>
      </c>
      <c r="N197" s="74">
        <f>IF($B197="","",IF(AND($E197&lt;=0,$F197&gt;0),"QUIEBRE",IF(AND($F197=0,$E197&gt;0),"SIN ROTACIÓN",IF($J197="","",IF($J197&lt;Inicio!$C$23,"RIESGO DE QUIEBRE",IF($J197&gt;Inicio!$C$24*1.5,"EXCESO","SANO"))))))</f>
        <v/>
      </c>
      <c r="O197" s="74">
        <f>IF($M197="","",IF($J197="","",IF($J197&gt;2*$M197,"ENVIAR a otra tienda",IF($J197&lt;0.5*$M197,"PEDIR traslado","—"))))</f>
        <v/>
      </c>
    </row>
    <row r="198" ht="15" customHeight="1" s="47">
      <c r="A198" s="182" t="inlineStr">
        <is>
          <t>T05</t>
        </is>
      </c>
      <c r="B198" s="182" t="inlineStr">
        <is>
          <t>EL-031</t>
        </is>
      </c>
      <c r="C198" s="59">
        <f>IFERROR(INDEX(Productos!$B$5:$B$124,MATCH($B198,Productos!$A$5:$A$124,0)),"")</f>
        <v/>
      </c>
      <c r="D198" s="59">
        <f>IFERROR(INDEX(Productos!$D$5:$D$124,MATCH($B198,Productos!$A$5:$A$124,0)),"")</f>
        <v/>
      </c>
      <c r="E198" s="186" t="n">
        <v>4</v>
      </c>
      <c r="F198" s="70">
        <f>IF($B198="",0,SUMIFS(Ventas!$F$5:$F$504,Ventas!$B$5:$B$504,$A198,Ventas!$C$5:$C$504,$B198))</f>
        <v/>
      </c>
      <c r="G198" s="71">
        <f>IF($B198="",0,SUMIFS(Ventas!$L$5:$L$504,Ventas!$B$5:$B$504,$A198,Ventas!$C$5:$C$504,$B198))</f>
        <v/>
      </c>
      <c r="H198" s="71">
        <f>IF($B198="",0,SUMIFS(Ventas!$P$5:$P$504,Ventas!$B$5:$B$504,$A198,Ventas!$C$5:$C$504,$B198))</f>
        <v/>
      </c>
      <c r="I198" s="72">
        <f>IF($F198=0,0,$F198/Inicio!$C$22)</f>
        <v/>
      </c>
      <c r="J198" s="73">
        <f>IF($I198=0,"",ROUND($E198/$I198,0))</f>
        <v/>
      </c>
      <c r="K198" s="71">
        <f>IF($B198="",0,$E198*IFERROR(INDEX(Productos!$G$5:$G$124,MATCH($B198,Productos!$A$5:$A$124,0)),0))</f>
        <v/>
      </c>
      <c r="L198" s="71">
        <f>IF($K198=0,0,$K198*Inicio!$C$25/365*Inicio!$C$22)</f>
        <v/>
      </c>
      <c r="M198" s="73">
        <f>IF($B198="","",IF(SUMIF($B$5:$B$304,$B198,$F$5:$F$304)=0,"",ROUND(SUMIF($B$5:$B$304,$B198,$E$5:$E$304)/(SUMIF($B$5:$B$304,$B198,$F$5:$F$304)/Inicio!$C$22),0)))</f>
        <v/>
      </c>
      <c r="N198" s="74">
        <f>IF($B198="","",IF(AND($E198&lt;=0,$F198&gt;0),"QUIEBRE",IF(AND($F198=0,$E198&gt;0),"SIN ROTACIÓN",IF($J198="","",IF($J198&lt;Inicio!$C$23,"RIESGO DE QUIEBRE",IF($J198&gt;Inicio!$C$24*1.5,"EXCESO","SANO"))))))</f>
        <v/>
      </c>
      <c r="O198" s="74">
        <f>IF($M198="","",IF($J198="","",IF($J198&gt;2*$M198,"ENVIAR a otra tienda",IF($J198&lt;0.5*$M198,"PEDIR traslado","—"))))</f>
        <v/>
      </c>
    </row>
    <row r="199" ht="15" customHeight="1" s="47">
      <c r="A199" s="182" t="inlineStr">
        <is>
          <t>T05</t>
        </is>
      </c>
      <c r="B199" s="182" t="inlineStr">
        <is>
          <t>EL-032</t>
        </is>
      </c>
      <c r="C199" s="59">
        <f>IFERROR(INDEX(Productos!$B$5:$B$124,MATCH($B199,Productos!$A$5:$A$124,0)),"")</f>
        <v/>
      </c>
      <c r="D199" s="59">
        <f>IFERROR(INDEX(Productos!$D$5:$D$124,MATCH($B199,Productos!$A$5:$A$124,0)),"")</f>
        <v/>
      </c>
      <c r="E199" s="186" t="n">
        <v>2</v>
      </c>
      <c r="F199" s="70">
        <f>IF($B199="",0,SUMIFS(Ventas!$F$5:$F$504,Ventas!$B$5:$B$504,$A199,Ventas!$C$5:$C$504,$B199))</f>
        <v/>
      </c>
      <c r="G199" s="71">
        <f>IF($B199="",0,SUMIFS(Ventas!$L$5:$L$504,Ventas!$B$5:$B$504,$A199,Ventas!$C$5:$C$504,$B199))</f>
        <v/>
      </c>
      <c r="H199" s="71">
        <f>IF($B199="",0,SUMIFS(Ventas!$P$5:$P$504,Ventas!$B$5:$B$504,$A199,Ventas!$C$5:$C$504,$B199))</f>
        <v/>
      </c>
      <c r="I199" s="72">
        <f>IF($F199=0,0,$F199/Inicio!$C$22)</f>
        <v/>
      </c>
      <c r="J199" s="73">
        <f>IF($I199=0,"",ROUND($E199/$I199,0))</f>
        <v/>
      </c>
      <c r="K199" s="71">
        <f>IF($B199="",0,$E199*IFERROR(INDEX(Productos!$G$5:$G$124,MATCH($B199,Productos!$A$5:$A$124,0)),0))</f>
        <v/>
      </c>
      <c r="L199" s="71">
        <f>IF($K199=0,0,$K199*Inicio!$C$25/365*Inicio!$C$22)</f>
        <v/>
      </c>
      <c r="M199" s="73">
        <f>IF($B199="","",IF(SUMIF($B$5:$B$304,$B199,$F$5:$F$304)=0,"",ROUND(SUMIF($B$5:$B$304,$B199,$E$5:$E$304)/(SUMIF($B$5:$B$304,$B199,$F$5:$F$304)/Inicio!$C$22),0)))</f>
        <v/>
      </c>
      <c r="N199" s="74">
        <f>IF($B199="","",IF(AND($E199&lt;=0,$F199&gt;0),"QUIEBRE",IF(AND($F199=0,$E199&gt;0),"SIN ROTACIÓN",IF($J199="","",IF($J199&lt;Inicio!$C$23,"RIESGO DE QUIEBRE",IF($J199&gt;Inicio!$C$24*1.5,"EXCESO","SANO"))))))</f>
        <v/>
      </c>
      <c r="O199" s="74">
        <f>IF($M199="","",IF($J199="","",IF($J199&gt;2*$M199,"ENVIAR a otra tienda",IF($J199&lt;0.5*$M199,"PEDIR traslado","—"))))</f>
        <v/>
      </c>
    </row>
    <row r="200" ht="15" customHeight="1" s="47">
      <c r="A200" s="182" t="inlineStr">
        <is>
          <t>T05</t>
        </is>
      </c>
      <c r="B200" s="182" t="inlineStr">
        <is>
          <t>EL-033</t>
        </is>
      </c>
      <c r="C200" s="59">
        <f>IFERROR(INDEX(Productos!$B$5:$B$124,MATCH($B200,Productos!$A$5:$A$124,0)),"")</f>
        <v/>
      </c>
      <c r="D200" s="59">
        <f>IFERROR(INDEX(Productos!$D$5:$D$124,MATCH($B200,Productos!$A$5:$A$124,0)),"")</f>
        <v/>
      </c>
      <c r="E200" s="186" t="n">
        <v>3</v>
      </c>
      <c r="F200" s="70">
        <f>IF($B200="",0,SUMIFS(Ventas!$F$5:$F$504,Ventas!$B$5:$B$504,$A200,Ventas!$C$5:$C$504,$B200))</f>
        <v/>
      </c>
      <c r="G200" s="71">
        <f>IF($B200="",0,SUMIFS(Ventas!$L$5:$L$504,Ventas!$B$5:$B$504,$A200,Ventas!$C$5:$C$504,$B200))</f>
        <v/>
      </c>
      <c r="H200" s="71">
        <f>IF($B200="",0,SUMIFS(Ventas!$P$5:$P$504,Ventas!$B$5:$B$504,$A200,Ventas!$C$5:$C$504,$B200))</f>
        <v/>
      </c>
      <c r="I200" s="72">
        <f>IF($F200=0,0,$F200/Inicio!$C$22)</f>
        <v/>
      </c>
      <c r="J200" s="73">
        <f>IF($I200=0,"",ROUND($E200/$I200,0))</f>
        <v/>
      </c>
      <c r="K200" s="71">
        <f>IF($B200="",0,$E200*IFERROR(INDEX(Productos!$G$5:$G$124,MATCH($B200,Productos!$A$5:$A$124,0)),0))</f>
        <v/>
      </c>
      <c r="L200" s="71">
        <f>IF($K200=0,0,$K200*Inicio!$C$25/365*Inicio!$C$22)</f>
        <v/>
      </c>
      <c r="M200" s="73">
        <f>IF($B200="","",IF(SUMIF($B$5:$B$304,$B200,$F$5:$F$304)=0,"",ROUND(SUMIF($B$5:$B$304,$B200,$E$5:$E$304)/(SUMIF($B$5:$B$304,$B200,$F$5:$F$304)/Inicio!$C$22),0)))</f>
        <v/>
      </c>
      <c r="N200" s="74">
        <f>IF($B200="","",IF(AND($E200&lt;=0,$F200&gt;0),"QUIEBRE",IF(AND($F200=0,$E200&gt;0),"SIN ROTACIÓN",IF($J200="","",IF($J200&lt;Inicio!$C$23,"RIESGO DE QUIEBRE",IF($J200&gt;Inicio!$C$24*1.5,"EXCESO","SANO"))))))</f>
        <v/>
      </c>
      <c r="O200" s="74">
        <f>IF($M200="","",IF($J200="","",IF($J200&gt;2*$M200,"ENVIAR a otra tienda",IF($J200&lt;0.5*$M200,"PEDIR traslado","—"))))</f>
        <v/>
      </c>
    </row>
    <row r="201" ht="15" customHeight="1" s="47">
      <c r="A201" s="182" t="inlineStr">
        <is>
          <t>T05</t>
        </is>
      </c>
      <c r="B201" s="182" t="inlineStr">
        <is>
          <t>EL-035</t>
        </is>
      </c>
      <c r="C201" s="59">
        <f>IFERROR(INDEX(Productos!$B$5:$B$124,MATCH($B201,Productos!$A$5:$A$124,0)),"")</f>
        <v/>
      </c>
      <c r="D201" s="59">
        <f>IFERROR(INDEX(Productos!$D$5:$D$124,MATCH($B201,Productos!$A$5:$A$124,0)),"")</f>
        <v/>
      </c>
      <c r="E201" s="186" t="n">
        <v>1</v>
      </c>
      <c r="F201" s="70">
        <f>IF($B201="",0,SUMIFS(Ventas!$F$5:$F$504,Ventas!$B$5:$B$504,$A201,Ventas!$C$5:$C$504,$B201))</f>
        <v/>
      </c>
      <c r="G201" s="71">
        <f>IF($B201="",0,SUMIFS(Ventas!$L$5:$L$504,Ventas!$B$5:$B$504,$A201,Ventas!$C$5:$C$504,$B201))</f>
        <v/>
      </c>
      <c r="H201" s="71">
        <f>IF($B201="",0,SUMIFS(Ventas!$P$5:$P$504,Ventas!$B$5:$B$504,$A201,Ventas!$C$5:$C$504,$B201))</f>
        <v/>
      </c>
      <c r="I201" s="72">
        <f>IF($F201=0,0,$F201/Inicio!$C$22)</f>
        <v/>
      </c>
      <c r="J201" s="73">
        <f>IF($I201=0,"",ROUND($E201/$I201,0))</f>
        <v/>
      </c>
      <c r="K201" s="71">
        <f>IF($B201="",0,$E201*IFERROR(INDEX(Productos!$G$5:$G$124,MATCH($B201,Productos!$A$5:$A$124,0)),0))</f>
        <v/>
      </c>
      <c r="L201" s="71">
        <f>IF($K201=0,0,$K201*Inicio!$C$25/365*Inicio!$C$22)</f>
        <v/>
      </c>
      <c r="M201" s="73">
        <f>IF($B201="","",IF(SUMIF($B$5:$B$304,$B201,$F$5:$F$304)=0,"",ROUND(SUMIF($B$5:$B$304,$B201,$E$5:$E$304)/(SUMIF($B$5:$B$304,$B201,$F$5:$F$304)/Inicio!$C$22),0)))</f>
        <v/>
      </c>
      <c r="N201" s="74">
        <f>IF($B201="","",IF(AND($E201&lt;=0,$F201&gt;0),"QUIEBRE",IF(AND($F201=0,$E201&gt;0),"SIN ROTACIÓN",IF($J201="","",IF($J201&lt;Inicio!$C$23,"RIESGO DE QUIEBRE",IF($J201&gt;Inicio!$C$24*1.5,"EXCESO","SANO"))))))</f>
        <v/>
      </c>
      <c r="O201" s="74">
        <f>IF($M201="","",IF($J201="","",IF($J201&gt;2*$M201,"ENVIAR a otra tienda",IF($J201&lt;0.5*$M201,"PEDIR traslado","—"))))</f>
        <v/>
      </c>
    </row>
    <row r="202" ht="15" customHeight="1" s="47">
      <c r="A202" s="182" t="inlineStr">
        <is>
          <t>T05</t>
        </is>
      </c>
      <c r="B202" s="182" t="inlineStr">
        <is>
          <t>EL-036</t>
        </is>
      </c>
      <c r="C202" s="59">
        <f>IFERROR(INDEX(Productos!$B$5:$B$124,MATCH($B202,Productos!$A$5:$A$124,0)),"")</f>
        <v/>
      </c>
      <c r="D202" s="59">
        <f>IFERROR(INDEX(Productos!$D$5:$D$124,MATCH($B202,Productos!$A$5:$A$124,0)),"")</f>
        <v/>
      </c>
      <c r="E202" s="186" t="n">
        <v>2</v>
      </c>
      <c r="F202" s="70">
        <f>IF($B202="",0,SUMIFS(Ventas!$F$5:$F$504,Ventas!$B$5:$B$504,$A202,Ventas!$C$5:$C$504,$B202))</f>
        <v/>
      </c>
      <c r="G202" s="71">
        <f>IF($B202="",0,SUMIFS(Ventas!$L$5:$L$504,Ventas!$B$5:$B$504,$A202,Ventas!$C$5:$C$504,$B202))</f>
        <v/>
      </c>
      <c r="H202" s="71">
        <f>IF($B202="",0,SUMIFS(Ventas!$P$5:$P$504,Ventas!$B$5:$B$504,$A202,Ventas!$C$5:$C$504,$B202))</f>
        <v/>
      </c>
      <c r="I202" s="72">
        <f>IF($F202=0,0,$F202/Inicio!$C$22)</f>
        <v/>
      </c>
      <c r="J202" s="73">
        <f>IF($I202=0,"",ROUND($E202/$I202,0))</f>
        <v/>
      </c>
      <c r="K202" s="71">
        <f>IF($B202="",0,$E202*IFERROR(INDEX(Productos!$G$5:$G$124,MATCH($B202,Productos!$A$5:$A$124,0)),0))</f>
        <v/>
      </c>
      <c r="L202" s="71">
        <f>IF($K202=0,0,$K202*Inicio!$C$25/365*Inicio!$C$22)</f>
        <v/>
      </c>
      <c r="M202" s="73">
        <f>IF($B202="","",IF(SUMIF($B$5:$B$304,$B202,$F$5:$F$304)=0,"",ROUND(SUMIF($B$5:$B$304,$B202,$E$5:$E$304)/(SUMIF($B$5:$B$304,$B202,$F$5:$F$304)/Inicio!$C$22),0)))</f>
        <v/>
      </c>
      <c r="N202" s="74">
        <f>IF($B202="","",IF(AND($E202&lt;=0,$F202&gt;0),"QUIEBRE",IF(AND($F202=0,$E202&gt;0),"SIN ROTACIÓN",IF($J202="","",IF($J202&lt;Inicio!$C$23,"RIESGO DE QUIEBRE",IF($J202&gt;Inicio!$C$24*1.5,"EXCESO","SANO"))))))</f>
        <v/>
      </c>
      <c r="O202" s="74">
        <f>IF($M202="","",IF($J202="","",IF($J202&gt;2*$M202,"ENVIAR a otra tienda",IF($J202&lt;0.5*$M202,"PEDIR traslado","—"))))</f>
        <v/>
      </c>
    </row>
    <row r="203" ht="15" customHeight="1" s="47">
      <c r="A203" s="182" t="inlineStr">
        <is>
          <t>T05</t>
        </is>
      </c>
      <c r="B203" s="182" t="inlineStr">
        <is>
          <t>EL-038</t>
        </is>
      </c>
      <c r="C203" s="59">
        <f>IFERROR(INDEX(Productos!$B$5:$B$124,MATCH($B203,Productos!$A$5:$A$124,0)),"")</f>
        <v/>
      </c>
      <c r="D203" s="59">
        <f>IFERROR(INDEX(Productos!$D$5:$D$124,MATCH($B203,Productos!$A$5:$A$124,0)),"")</f>
        <v/>
      </c>
      <c r="E203" s="186" t="n">
        <v>11</v>
      </c>
      <c r="F203" s="70">
        <f>IF($B203="",0,SUMIFS(Ventas!$F$5:$F$504,Ventas!$B$5:$B$504,$A203,Ventas!$C$5:$C$504,$B203))</f>
        <v/>
      </c>
      <c r="G203" s="71">
        <f>IF($B203="",0,SUMIFS(Ventas!$L$5:$L$504,Ventas!$B$5:$B$504,$A203,Ventas!$C$5:$C$504,$B203))</f>
        <v/>
      </c>
      <c r="H203" s="71">
        <f>IF($B203="",0,SUMIFS(Ventas!$P$5:$P$504,Ventas!$B$5:$B$504,$A203,Ventas!$C$5:$C$504,$B203))</f>
        <v/>
      </c>
      <c r="I203" s="72">
        <f>IF($F203=0,0,$F203/Inicio!$C$22)</f>
        <v/>
      </c>
      <c r="J203" s="73">
        <f>IF($I203=0,"",ROUND($E203/$I203,0))</f>
        <v/>
      </c>
      <c r="K203" s="71">
        <f>IF($B203="",0,$E203*IFERROR(INDEX(Productos!$G$5:$G$124,MATCH($B203,Productos!$A$5:$A$124,0)),0))</f>
        <v/>
      </c>
      <c r="L203" s="71">
        <f>IF($K203=0,0,$K203*Inicio!$C$25/365*Inicio!$C$22)</f>
        <v/>
      </c>
      <c r="M203" s="73">
        <f>IF($B203="","",IF(SUMIF($B$5:$B$304,$B203,$F$5:$F$304)=0,"",ROUND(SUMIF($B$5:$B$304,$B203,$E$5:$E$304)/(SUMIF($B$5:$B$304,$B203,$F$5:$F$304)/Inicio!$C$22),0)))</f>
        <v/>
      </c>
      <c r="N203" s="74">
        <f>IF($B203="","",IF(AND($E203&lt;=0,$F203&gt;0),"QUIEBRE",IF(AND($F203=0,$E203&gt;0),"SIN ROTACIÓN",IF($J203="","",IF($J203&lt;Inicio!$C$23,"RIESGO DE QUIEBRE",IF($J203&gt;Inicio!$C$24*1.5,"EXCESO","SANO"))))))</f>
        <v/>
      </c>
      <c r="O203" s="74">
        <f>IF($M203="","",IF($J203="","",IF($J203&gt;2*$M203,"ENVIAR a otra tienda",IF($J203&lt;0.5*$M203,"PEDIR traslado","—"))))</f>
        <v/>
      </c>
    </row>
    <row r="204" ht="15" customHeight="1" s="47">
      <c r="A204" s="182" t="inlineStr">
        <is>
          <t>T05</t>
        </is>
      </c>
      <c r="B204" s="182" t="inlineStr">
        <is>
          <t>EL-039</t>
        </is>
      </c>
      <c r="C204" s="59">
        <f>IFERROR(INDEX(Productos!$B$5:$B$124,MATCH($B204,Productos!$A$5:$A$124,0)),"")</f>
        <v/>
      </c>
      <c r="D204" s="59">
        <f>IFERROR(INDEX(Productos!$D$5:$D$124,MATCH($B204,Productos!$A$5:$A$124,0)),"")</f>
        <v/>
      </c>
      <c r="E204" s="186" t="n">
        <v>0</v>
      </c>
      <c r="F204" s="70">
        <f>IF($B204="",0,SUMIFS(Ventas!$F$5:$F$504,Ventas!$B$5:$B$504,$A204,Ventas!$C$5:$C$504,$B204))</f>
        <v/>
      </c>
      <c r="G204" s="71">
        <f>IF($B204="",0,SUMIFS(Ventas!$L$5:$L$504,Ventas!$B$5:$B$504,$A204,Ventas!$C$5:$C$504,$B204))</f>
        <v/>
      </c>
      <c r="H204" s="71">
        <f>IF($B204="",0,SUMIFS(Ventas!$P$5:$P$504,Ventas!$B$5:$B$504,$A204,Ventas!$C$5:$C$504,$B204))</f>
        <v/>
      </c>
      <c r="I204" s="72">
        <f>IF($F204=0,0,$F204/Inicio!$C$22)</f>
        <v/>
      </c>
      <c r="J204" s="73">
        <f>IF($I204=0,"",ROUND($E204/$I204,0))</f>
        <v/>
      </c>
      <c r="K204" s="71">
        <f>IF($B204="",0,$E204*IFERROR(INDEX(Productos!$G$5:$G$124,MATCH($B204,Productos!$A$5:$A$124,0)),0))</f>
        <v/>
      </c>
      <c r="L204" s="71">
        <f>IF($K204=0,0,$K204*Inicio!$C$25/365*Inicio!$C$22)</f>
        <v/>
      </c>
      <c r="M204" s="73">
        <f>IF($B204="","",IF(SUMIF($B$5:$B$304,$B204,$F$5:$F$304)=0,"",ROUND(SUMIF($B$5:$B$304,$B204,$E$5:$E$304)/(SUMIF($B$5:$B$304,$B204,$F$5:$F$304)/Inicio!$C$22),0)))</f>
        <v/>
      </c>
      <c r="N204" s="74">
        <f>IF($B204="","",IF(AND($E204&lt;=0,$F204&gt;0),"QUIEBRE",IF(AND($F204=0,$E204&gt;0),"SIN ROTACIÓN",IF($J204="","",IF($J204&lt;Inicio!$C$23,"RIESGO DE QUIEBRE",IF($J204&gt;Inicio!$C$24*1.5,"EXCESO","SANO"))))))</f>
        <v/>
      </c>
      <c r="O204" s="74">
        <f>IF($M204="","",IF($J204="","",IF($J204&gt;2*$M204,"ENVIAR a otra tienda",IF($J204&lt;0.5*$M204,"PEDIR traslado","—"))))</f>
        <v/>
      </c>
    </row>
    <row r="205" ht="15" customHeight="1" s="47">
      <c r="A205" s="182" t="inlineStr">
        <is>
          <t>T05</t>
        </is>
      </c>
      <c r="B205" s="182" t="inlineStr">
        <is>
          <t>EL-040</t>
        </is>
      </c>
      <c r="C205" s="59">
        <f>IFERROR(INDEX(Productos!$B$5:$B$124,MATCH($B205,Productos!$A$5:$A$124,0)),"")</f>
        <v/>
      </c>
      <c r="D205" s="59">
        <f>IFERROR(INDEX(Productos!$D$5:$D$124,MATCH($B205,Productos!$A$5:$A$124,0)),"")</f>
        <v/>
      </c>
      <c r="E205" s="186" t="n">
        <v>1</v>
      </c>
      <c r="F205" s="70">
        <f>IF($B205="",0,SUMIFS(Ventas!$F$5:$F$504,Ventas!$B$5:$B$504,$A205,Ventas!$C$5:$C$504,$B205))</f>
        <v/>
      </c>
      <c r="G205" s="71">
        <f>IF($B205="",0,SUMIFS(Ventas!$L$5:$L$504,Ventas!$B$5:$B$504,$A205,Ventas!$C$5:$C$504,$B205))</f>
        <v/>
      </c>
      <c r="H205" s="71">
        <f>IF($B205="",0,SUMIFS(Ventas!$P$5:$P$504,Ventas!$B$5:$B$504,$A205,Ventas!$C$5:$C$504,$B205))</f>
        <v/>
      </c>
      <c r="I205" s="72">
        <f>IF($F205=0,0,$F205/Inicio!$C$22)</f>
        <v/>
      </c>
      <c r="J205" s="73">
        <f>IF($I205=0,"",ROUND($E205/$I205,0))</f>
        <v/>
      </c>
      <c r="K205" s="71">
        <f>IF($B205="",0,$E205*IFERROR(INDEX(Productos!$G$5:$G$124,MATCH($B205,Productos!$A$5:$A$124,0)),0))</f>
        <v/>
      </c>
      <c r="L205" s="71">
        <f>IF($K205=0,0,$K205*Inicio!$C$25/365*Inicio!$C$22)</f>
        <v/>
      </c>
      <c r="M205" s="73">
        <f>IF($B205="","",IF(SUMIF($B$5:$B$304,$B205,$F$5:$F$304)=0,"",ROUND(SUMIF($B$5:$B$304,$B205,$E$5:$E$304)/(SUMIF($B$5:$B$304,$B205,$F$5:$F$304)/Inicio!$C$22),0)))</f>
        <v/>
      </c>
      <c r="N205" s="74">
        <f>IF($B205="","",IF(AND($E205&lt;=0,$F205&gt;0),"QUIEBRE",IF(AND($F205=0,$E205&gt;0),"SIN ROTACIÓN",IF($J205="","",IF($J205&lt;Inicio!$C$23,"RIESGO DE QUIEBRE",IF($J205&gt;Inicio!$C$24*1.5,"EXCESO","SANO"))))))</f>
        <v/>
      </c>
      <c r="O205" s="74">
        <f>IF($M205="","",IF($J205="","",IF($J205&gt;2*$M205,"ENVIAR a otra tienda",IF($J205&lt;0.5*$M205,"PEDIR traslado","—"))))</f>
        <v/>
      </c>
    </row>
    <row r="206" ht="15" customHeight="1" s="47">
      <c r="A206" s="182" t="inlineStr">
        <is>
          <t>T05</t>
        </is>
      </c>
      <c r="B206" s="182" t="inlineStr">
        <is>
          <t>EL-042</t>
        </is>
      </c>
      <c r="C206" s="59">
        <f>IFERROR(INDEX(Productos!$B$5:$B$124,MATCH($B206,Productos!$A$5:$A$124,0)),"")</f>
        <v/>
      </c>
      <c r="D206" s="59">
        <f>IFERROR(INDEX(Productos!$D$5:$D$124,MATCH($B206,Productos!$A$5:$A$124,0)),"")</f>
        <v/>
      </c>
      <c r="E206" s="186" t="n">
        <v>3</v>
      </c>
      <c r="F206" s="70">
        <f>IF($B206="",0,SUMIFS(Ventas!$F$5:$F$504,Ventas!$B$5:$B$504,$A206,Ventas!$C$5:$C$504,$B206))</f>
        <v/>
      </c>
      <c r="G206" s="71">
        <f>IF($B206="",0,SUMIFS(Ventas!$L$5:$L$504,Ventas!$B$5:$B$504,$A206,Ventas!$C$5:$C$504,$B206))</f>
        <v/>
      </c>
      <c r="H206" s="71">
        <f>IF($B206="",0,SUMIFS(Ventas!$P$5:$P$504,Ventas!$B$5:$B$504,$A206,Ventas!$C$5:$C$504,$B206))</f>
        <v/>
      </c>
      <c r="I206" s="72">
        <f>IF($F206=0,0,$F206/Inicio!$C$22)</f>
        <v/>
      </c>
      <c r="J206" s="73">
        <f>IF($I206=0,"",ROUND($E206/$I206,0))</f>
        <v/>
      </c>
      <c r="K206" s="71">
        <f>IF($B206="",0,$E206*IFERROR(INDEX(Productos!$G$5:$G$124,MATCH($B206,Productos!$A$5:$A$124,0)),0))</f>
        <v/>
      </c>
      <c r="L206" s="71">
        <f>IF($K206=0,0,$K206*Inicio!$C$25/365*Inicio!$C$22)</f>
        <v/>
      </c>
      <c r="M206" s="73">
        <f>IF($B206="","",IF(SUMIF($B$5:$B$304,$B206,$F$5:$F$304)=0,"",ROUND(SUMIF($B$5:$B$304,$B206,$E$5:$E$304)/(SUMIF($B$5:$B$304,$B206,$F$5:$F$304)/Inicio!$C$22),0)))</f>
        <v/>
      </c>
      <c r="N206" s="74">
        <f>IF($B206="","",IF(AND($E206&lt;=0,$F206&gt;0),"QUIEBRE",IF(AND($F206=0,$E206&gt;0),"SIN ROTACIÓN",IF($J206="","",IF($J206&lt;Inicio!$C$23,"RIESGO DE QUIEBRE",IF($J206&gt;Inicio!$C$24*1.5,"EXCESO","SANO"))))))</f>
        <v/>
      </c>
      <c r="O206" s="74">
        <f>IF($M206="","",IF($J206="","",IF($J206&gt;2*$M206,"ENVIAR a otra tienda",IF($J206&lt;0.5*$M206,"PEDIR traslado","—"))))</f>
        <v/>
      </c>
    </row>
    <row r="207" ht="15" customHeight="1" s="47">
      <c r="A207" s="182" t="inlineStr">
        <is>
          <t>T05</t>
        </is>
      </c>
      <c r="B207" s="182" t="inlineStr">
        <is>
          <t>EL-043</t>
        </is>
      </c>
      <c r="C207" s="59">
        <f>IFERROR(INDEX(Productos!$B$5:$B$124,MATCH($B207,Productos!$A$5:$A$124,0)),"")</f>
        <v/>
      </c>
      <c r="D207" s="59">
        <f>IFERROR(INDEX(Productos!$D$5:$D$124,MATCH($B207,Productos!$A$5:$A$124,0)),"")</f>
        <v/>
      </c>
      <c r="E207" s="186" t="n">
        <v>2</v>
      </c>
      <c r="F207" s="70">
        <f>IF($B207="",0,SUMIFS(Ventas!$F$5:$F$504,Ventas!$B$5:$B$504,$A207,Ventas!$C$5:$C$504,$B207))</f>
        <v/>
      </c>
      <c r="G207" s="71">
        <f>IF($B207="",0,SUMIFS(Ventas!$L$5:$L$504,Ventas!$B$5:$B$504,$A207,Ventas!$C$5:$C$504,$B207))</f>
        <v/>
      </c>
      <c r="H207" s="71">
        <f>IF($B207="",0,SUMIFS(Ventas!$P$5:$P$504,Ventas!$B$5:$B$504,$A207,Ventas!$C$5:$C$504,$B207))</f>
        <v/>
      </c>
      <c r="I207" s="72">
        <f>IF($F207=0,0,$F207/Inicio!$C$22)</f>
        <v/>
      </c>
      <c r="J207" s="73">
        <f>IF($I207=0,"",ROUND($E207/$I207,0))</f>
        <v/>
      </c>
      <c r="K207" s="71">
        <f>IF($B207="",0,$E207*IFERROR(INDEX(Productos!$G$5:$G$124,MATCH($B207,Productos!$A$5:$A$124,0)),0))</f>
        <v/>
      </c>
      <c r="L207" s="71">
        <f>IF($K207=0,0,$K207*Inicio!$C$25/365*Inicio!$C$22)</f>
        <v/>
      </c>
      <c r="M207" s="73">
        <f>IF($B207="","",IF(SUMIF($B$5:$B$304,$B207,$F$5:$F$304)=0,"",ROUND(SUMIF($B$5:$B$304,$B207,$E$5:$E$304)/(SUMIF($B$5:$B$304,$B207,$F$5:$F$304)/Inicio!$C$22),0)))</f>
        <v/>
      </c>
      <c r="N207" s="74">
        <f>IF($B207="","",IF(AND($E207&lt;=0,$F207&gt;0),"QUIEBRE",IF(AND($F207=0,$E207&gt;0),"SIN ROTACIÓN",IF($J207="","",IF($J207&lt;Inicio!$C$23,"RIESGO DE QUIEBRE",IF($J207&gt;Inicio!$C$24*1.5,"EXCESO","SANO"))))))</f>
        <v/>
      </c>
      <c r="O207" s="74">
        <f>IF($M207="","",IF($J207="","",IF($J207&gt;2*$M207,"ENVIAR a otra tienda",IF($J207&lt;0.5*$M207,"PEDIR traslado","—"))))</f>
        <v/>
      </c>
    </row>
    <row r="208" ht="15" customHeight="1" s="47">
      <c r="A208" s="182" t="inlineStr">
        <is>
          <t>T05</t>
        </is>
      </c>
      <c r="B208" s="182" t="inlineStr">
        <is>
          <t>EL-044</t>
        </is>
      </c>
      <c r="C208" s="59">
        <f>IFERROR(INDEX(Productos!$B$5:$B$124,MATCH($B208,Productos!$A$5:$A$124,0)),"")</f>
        <v/>
      </c>
      <c r="D208" s="59">
        <f>IFERROR(INDEX(Productos!$D$5:$D$124,MATCH($B208,Productos!$A$5:$A$124,0)),"")</f>
        <v/>
      </c>
      <c r="E208" s="186" t="n">
        <v>3</v>
      </c>
      <c r="F208" s="70">
        <f>IF($B208="",0,SUMIFS(Ventas!$F$5:$F$504,Ventas!$B$5:$B$504,$A208,Ventas!$C$5:$C$504,$B208))</f>
        <v/>
      </c>
      <c r="G208" s="71">
        <f>IF($B208="",0,SUMIFS(Ventas!$L$5:$L$504,Ventas!$B$5:$B$504,$A208,Ventas!$C$5:$C$504,$B208))</f>
        <v/>
      </c>
      <c r="H208" s="71">
        <f>IF($B208="",0,SUMIFS(Ventas!$P$5:$P$504,Ventas!$B$5:$B$504,$A208,Ventas!$C$5:$C$504,$B208))</f>
        <v/>
      </c>
      <c r="I208" s="72">
        <f>IF($F208=0,0,$F208/Inicio!$C$22)</f>
        <v/>
      </c>
      <c r="J208" s="73">
        <f>IF($I208=0,"",ROUND($E208/$I208,0))</f>
        <v/>
      </c>
      <c r="K208" s="71">
        <f>IF($B208="",0,$E208*IFERROR(INDEX(Productos!$G$5:$G$124,MATCH($B208,Productos!$A$5:$A$124,0)),0))</f>
        <v/>
      </c>
      <c r="L208" s="71">
        <f>IF($K208=0,0,$K208*Inicio!$C$25/365*Inicio!$C$22)</f>
        <v/>
      </c>
      <c r="M208" s="73">
        <f>IF($B208="","",IF(SUMIF($B$5:$B$304,$B208,$F$5:$F$304)=0,"",ROUND(SUMIF($B$5:$B$304,$B208,$E$5:$E$304)/(SUMIF($B$5:$B$304,$B208,$F$5:$F$304)/Inicio!$C$22),0)))</f>
        <v/>
      </c>
      <c r="N208" s="74">
        <f>IF($B208="","",IF(AND($E208&lt;=0,$F208&gt;0),"QUIEBRE",IF(AND($F208=0,$E208&gt;0),"SIN ROTACIÓN",IF($J208="","",IF($J208&lt;Inicio!$C$23,"RIESGO DE QUIEBRE",IF($J208&gt;Inicio!$C$24*1.5,"EXCESO","SANO"))))))</f>
        <v/>
      </c>
      <c r="O208" s="74">
        <f>IF($M208="","",IF($J208="","",IF($J208&gt;2*$M208,"ENVIAR a otra tienda",IF($J208&lt;0.5*$M208,"PEDIR traslado","—"))))</f>
        <v/>
      </c>
    </row>
    <row r="209" ht="15" customHeight="1" s="47">
      <c r="A209" s="182" t="inlineStr">
        <is>
          <t>T05</t>
        </is>
      </c>
      <c r="B209" s="182" t="inlineStr">
        <is>
          <t>EL-045</t>
        </is>
      </c>
      <c r="C209" s="59">
        <f>IFERROR(INDEX(Productos!$B$5:$B$124,MATCH($B209,Productos!$A$5:$A$124,0)),"")</f>
        <v/>
      </c>
      <c r="D209" s="59">
        <f>IFERROR(INDEX(Productos!$D$5:$D$124,MATCH($B209,Productos!$A$5:$A$124,0)),"")</f>
        <v/>
      </c>
      <c r="E209" s="186" t="n">
        <v>3</v>
      </c>
      <c r="F209" s="70">
        <f>IF($B209="",0,SUMIFS(Ventas!$F$5:$F$504,Ventas!$B$5:$B$504,$A209,Ventas!$C$5:$C$504,$B209))</f>
        <v/>
      </c>
      <c r="G209" s="71">
        <f>IF($B209="",0,SUMIFS(Ventas!$L$5:$L$504,Ventas!$B$5:$B$504,$A209,Ventas!$C$5:$C$504,$B209))</f>
        <v/>
      </c>
      <c r="H209" s="71">
        <f>IF($B209="",0,SUMIFS(Ventas!$P$5:$P$504,Ventas!$B$5:$B$504,$A209,Ventas!$C$5:$C$504,$B209))</f>
        <v/>
      </c>
      <c r="I209" s="72">
        <f>IF($F209=0,0,$F209/Inicio!$C$22)</f>
        <v/>
      </c>
      <c r="J209" s="73">
        <f>IF($I209=0,"",ROUND($E209/$I209,0))</f>
        <v/>
      </c>
      <c r="K209" s="71">
        <f>IF($B209="",0,$E209*IFERROR(INDEX(Productos!$G$5:$G$124,MATCH($B209,Productos!$A$5:$A$124,0)),0))</f>
        <v/>
      </c>
      <c r="L209" s="71">
        <f>IF($K209=0,0,$K209*Inicio!$C$25/365*Inicio!$C$22)</f>
        <v/>
      </c>
      <c r="M209" s="73">
        <f>IF($B209="","",IF(SUMIF($B$5:$B$304,$B209,$F$5:$F$304)=0,"",ROUND(SUMIF($B$5:$B$304,$B209,$E$5:$E$304)/(SUMIF($B$5:$B$304,$B209,$F$5:$F$304)/Inicio!$C$22),0)))</f>
        <v/>
      </c>
      <c r="N209" s="74">
        <f>IF($B209="","",IF(AND($E209&lt;=0,$F209&gt;0),"QUIEBRE",IF(AND($F209=0,$E209&gt;0),"SIN ROTACIÓN",IF($J209="","",IF($J209&lt;Inicio!$C$23,"RIESGO DE QUIEBRE",IF($J209&gt;Inicio!$C$24*1.5,"EXCESO","SANO"))))))</f>
        <v/>
      </c>
      <c r="O209" s="74">
        <f>IF($M209="","",IF($J209="","",IF($J209&gt;2*$M209,"ENVIAR a otra tienda",IF($J209&lt;0.5*$M209,"PEDIR traslado","—"))))</f>
        <v/>
      </c>
    </row>
    <row r="210" ht="15" customHeight="1" s="47">
      <c r="A210" s="182" t="inlineStr">
        <is>
          <t>T05</t>
        </is>
      </c>
      <c r="B210" s="182" t="inlineStr">
        <is>
          <t>EL-046</t>
        </is>
      </c>
      <c r="C210" s="59">
        <f>IFERROR(INDEX(Productos!$B$5:$B$124,MATCH($B210,Productos!$A$5:$A$124,0)),"")</f>
        <v/>
      </c>
      <c r="D210" s="59">
        <f>IFERROR(INDEX(Productos!$D$5:$D$124,MATCH($B210,Productos!$A$5:$A$124,0)),"")</f>
        <v/>
      </c>
      <c r="E210" s="186" t="n">
        <v>11</v>
      </c>
      <c r="F210" s="70">
        <f>IF($B210="",0,SUMIFS(Ventas!$F$5:$F$504,Ventas!$B$5:$B$504,$A210,Ventas!$C$5:$C$504,$B210))</f>
        <v/>
      </c>
      <c r="G210" s="71">
        <f>IF($B210="",0,SUMIFS(Ventas!$L$5:$L$504,Ventas!$B$5:$B$504,$A210,Ventas!$C$5:$C$504,$B210))</f>
        <v/>
      </c>
      <c r="H210" s="71">
        <f>IF($B210="",0,SUMIFS(Ventas!$P$5:$P$504,Ventas!$B$5:$B$504,$A210,Ventas!$C$5:$C$504,$B210))</f>
        <v/>
      </c>
      <c r="I210" s="72">
        <f>IF($F210=0,0,$F210/Inicio!$C$22)</f>
        <v/>
      </c>
      <c r="J210" s="73">
        <f>IF($I210=0,"",ROUND($E210/$I210,0))</f>
        <v/>
      </c>
      <c r="K210" s="71">
        <f>IF($B210="",0,$E210*IFERROR(INDEX(Productos!$G$5:$G$124,MATCH($B210,Productos!$A$5:$A$124,0)),0))</f>
        <v/>
      </c>
      <c r="L210" s="71">
        <f>IF($K210=0,0,$K210*Inicio!$C$25/365*Inicio!$C$22)</f>
        <v/>
      </c>
      <c r="M210" s="73">
        <f>IF($B210="","",IF(SUMIF($B$5:$B$304,$B210,$F$5:$F$304)=0,"",ROUND(SUMIF($B$5:$B$304,$B210,$E$5:$E$304)/(SUMIF($B$5:$B$304,$B210,$F$5:$F$304)/Inicio!$C$22),0)))</f>
        <v/>
      </c>
      <c r="N210" s="74">
        <f>IF($B210="","",IF(AND($E210&lt;=0,$F210&gt;0),"QUIEBRE",IF(AND($F210=0,$E210&gt;0),"SIN ROTACIÓN",IF($J210="","",IF($J210&lt;Inicio!$C$23,"RIESGO DE QUIEBRE",IF($J210&gt;Inicio!$C$24*1.5,"EXCESO","SANO"))))))</f>
        <v/>
      </c>
      <c r="O210" s="74">
        <f>IF($M210="","",IF($J210="","",IF($J210&gt;2*$M210,"ENVIAR a otra tienda",IF($J210&lt;0.5*$M210,"PEDIR traslado","—"))))</f>
        <v/>
      </c>
    </row>
    <row r="211" ht="15" customHeight="1" s="47">
      <c r="A211" s="182" t="inlineStr">
        <is>
          <t>T05</t>
        </is>
      </c>
      <c r="B211" s="182" t="inlineStr">
        <is>
          <t>EL-047</t>
        </is>
      </c>
      <c r="C211" s="59">
        <f>IFERROR(INDEX(Productos!$B$5:$B$124,MATCH($B211,Productos!$A$5:$A$124,0)),"")</f>
        <v/>
      </c>
      <c r="D211" s="59">
        <f>IFERROR(INDEX(Productos!$D$5:$D$124,MATCH($B211,Productos!$A$5:$A$124,0)),"")</f>
        <v/>
      </c>
      <c r="E211" s="186" t="n">
        <v>1</v>
      </c>
      <c r="F211" s="70">
        <f>IF($B211="",0,SUMIFS(Ventas!$F$5:$F$504,Ventas!$B$5:$B$504,$A211,Ventas!$C$5:$C$504,$B211))</f>
        <v/>
      </c>
      <c r="G211" s="71">
        <f>IF($B211="",0,SUMIFS(Ventas!$L$5:$L$504,Ventas!$B$5:$B$504,$A211,Ventas!$C$5:$C$504,$B211))</f>
        <v/>
      </c>
      <c r="H211" s="71">
        <f>IF($B211="",0,SUMIFS(Ventas!$P$5:$P$504,Ventas!$B$5:$B$504,$A211,Ventas!$C$5:$C$504,$B211))</f>
        <v/>
      </c>
      <c r="I211" s="72">
        <f>IF($F211=0,0,$F211/Inicio!$C$22)</f>
        <v/>
      </c>
      <c r="J211" s="73">
        <f>IF($I211=0,"",ROUND($E211/$I211,0))</f>
        <v/>
      </c>
      <c r="K211" s="71">
        <f>IF($B211="",0,$E211*IFERROR(INDEX(Productos!$G$5:$G$124,MATCH($B211,Productos!$A$5:$A$124,0)),0))</f>
        <v/>
      </c>
      <c r="L211" s="71">
        <f>IF($K211=0,0,$K211*Inicio!$C$25/365*Inicio!$C$22)</f>
        <v/>
      </c>
      <c r="M211" s="73">
        <f>IF($B211="","",IF(SUMIF($B$5:$B$304,$B211,$F$5:$F$304)=0,"",ROUND(SUMIF($B$5:$B$304,$B211,$E$5:$E$304)/(SUMIF($B$5:$B$304,$B211,$F$5:$F$304)/Inicio!$C$22),0)))</f>
        <v/>
      </c>
      <c r="N211" s="74">
        <f>IF($B211="","",IF(AND($E211&lt;=0,$F211&gt;0),"QUIEBRE",IF(AND($F211=0,$E211&gt;0),"SIN ROTACIÓN",IF($J211="","",IF($J211&lt;Inicio!$C$23,"RIESGO DE QUIEBRE",IF($J211&gt;Inicio!$C$24*1.5,"EXCESO","SANO"))))))</f>
        <v/>
      </c>
      <c r="O211" s="74">
        <f>IF($M211="","",IF($J211="","",IF($J211&gt;2*$M211,"ENVIAR a otra tienda",IF($J211&lt;0.5*$M211,"PEDIR traslado","—"))))</f>
        <v/>
      </c>
    </row>
    <row r="212" ht="15" customHeight="1" s="47">
      <c r="A212" s="182" t="inlineStr">
        <is>
          <t>T05</t>
        </is>
      </c>
      <c r="B212" s="182" t="inlineStr">
        <is>
          <t>EL-048</t>
        </is>
      </c>
      <c r="C212" s="59">
        <f>IFERROR(INDEX(Productos!$B$5:$B$124,MATCH($B212,Productos!$A$5:$A$124,0)),"")</f>
        <v/>
      </c>
      <c r="D212" s="59">
        <f>IFERROR(INDEX(Productos!$D$5:$D$124,MATCH($B212,Productos!$A$5:$A$124,0)),"")</f>
        <v/>
      </c>
      <c r="E212" s="186" t="n">
        <v>8</v>
      </c>
      <c r="F212" s="70">
        <f>IF($B212="",0,SUMIFS(Ventas!$F$5:$F$504,Ventas!$B$5:$B$504,$A212,Ventas!$C$5:$C$504,$B212))</f>
        <v/>
      </c>
      <c r="G212" s="71">
        <f>IF($B212="",0,SUMIFS(Ventas!$L$5:$L$504,Ventas!$B$5:$B$504,$A212,Ventas!$C$5:$C$504,$B212))</f>
        <v/>
      </c>
      <c r="H212" s="71">
        <f>IF($B212="",0,SUMIFS(Ventas!$P$5:$P$504,Ventas!$B$5:$B$504,$A212,Ventas!$C$5:$C$504,$B212))</f>
        <v/>
      </c>
      <c r="I212" s="72">
        <f>IF($F212=0,0,$F212/Inicio!$C$22)</f>
        <v/>
      </c>
      <c r="J212" s="73">
        <f>IF($I212=0,"",ROUND($E212/$I212,0))</f>
        <v/>
      </c>
      <c r="K212" s="71">
        <f>IF($B212="",0,$E212*IFERROR(INDEX(Productos!$G$5:$G$124,MATCH($B212,Productos!$A$5:$A$124,0)),0))</f>
        <v/>
      </c>
      <c r="L212" s="71">
        <f>IF($K212=0,0,$K212*Inicio!$C$25/365*Inicio!$C$22)</f>
        <v/>
      </c>
      <c r="M212" s="73">
        <f>IF($B212="","",IF(SUMIF($B$5:$B$304,$B212,$F$5:$F$304)=0,"",ROUND(SUMIF($B$5:$B$304,$B212,$E$5:$E$304)/(SUMIF($B$5:$B$304,$B212,$F$5:$F$304)/Inicio!$C$22),0)))</f>
        <v/>
      </c>
      <c r="N212" s="74">
        <f>IF($B212="","",IF(AND($E212&lt;=0,$F212&gt;0),"QUIEBRE",IF(AND($F212=0,$E212&gt;0),"SIN ROTACIÓN",IF($J212="","",IF($J212&lt;Inicio!$C$23,"RIESGO DE QUIEBRE",IF($J212&gt;Inicio!$C$24*1.5,"EXCESO","SANO"))))))</f>
        <v/>
      </c>
      <c r="O212" s="74">
        <f>IF($M212="","",IF($J212="","",IF($J212&gt;2*$M212,"ENVIAR a otra tienda",IF($J212&lt;0.5*$M212,"PEDIR traslado","—"))))</f>
        <v/>
      </c>
    </row>
    <row r="213" ht="15" customHeight="1" s="47">
      <c r="A213" s="182" t="inlineStr">
        <is>
          <t>T05</t>
        </is>
      </c>
      <c r="B213" s="182" t="inlineStr">
        <is>
          <t>EL-049</t>
        </is>
      </c>
      <c r="C213" s="59">
        <f>IFERROR(INDEX(Productos!$B$5:$B$124,MATCH($B213,Productos!$A$5:$A$124,0)),"")</f>
        <v/>
      </c>
      <c r="D213" s="59">
        <f>IFERROR(INDEX(Productos!$D$5:$D$124,MATCH($B213,Productos!$A$5:$A$124,0)),"")</f>
        <v/>
      </c>
      <c r="E213" s="186" t="n">
        <v>28</v>
      </c>
      <c r="F213" s="70">
        <f>IF($B213="",0,SUMIFS(Ventas!$F$5:$F$504,Ventas!$B$5:$B$504,$A213,Ventas!$C$5:$C$504,$B213))</f>
        <v/>
      </c>
      <c r="G213" s="71">
        <f>IF($B213="",0,SUMIFS(Ventas!$L$5:$L$504,Ventas!$B$5:$B$504,$A213,Ventas!$C$5:$C$504,$B213))</f>
        <v/>
      </c>
      <c r="H213" s="71">
        <f>IF($B213="",0,SUMIFS(Ventas!$P$5:$P$504,Ventas!$B$5:$B$504,$A213,Ventas!$C$5:$C$504,$B213))</f>
        <v/>
      </c>
      <c r="I213" s="72">
        <f>IF($F213=0,0,$F213/Inicio!$C$22)</f>
        <v/>
      </c>
      <c r="J213" s="73">
        <f>IF($I213=0,"",ROUND($E213/$I213,0))</f>
        <v/>
      </c>
      <c r="K213" s="71">
        <f>IF($B213="",0,$E213*IFERROR(INDEX(Productos!$G$5:$G$124,MATCH($B213,Productos!$A$5:$A$124,0)),0))</f>
        <v/>
      </c>
      <c r="L213" s="71">
        <f>IF($K213=0,0,$K213*Inicio!$C$25/365*Inicio!$C$22)</f>
        <v/>
      </c>
      <c r="M213" s="73">
        <f>IF($B213="","",IF(SUMIF($B$5:$B$304,$B213,$F$5:$F$304)=0,"",ROUND(SUMIF($B$5:$B$304,$B213,$E$5:$E$304)/(SUMIF($B$5:$B$304,$B213,$F$5:$F$304)/Inicio!$C$22),0)))</f>
        <v/>
      </c>
      <c r="N213" s="74">
        <f>IF($B213="","",IF(AND($E213&lt;=0,$F213&gt;0),"QUIEBRE",IF(AND($F213=0,$E213&gt;0),"SIN ROTACIÓN",IF($J213="","",IF($J213&lt;Inicio!$C$23,"RIESGO DE QUIEBRE",IF($J213&gt;Inicio!$C$24*1.5,"EXCESO","SANO"))))))</f>
        <v/>
      </c>
      <c r="O213" s="74">
        <f>IF($M213="","",IF($J213="","",IF($J213&gt;2*$M213,"ENVIAR a otra tienda",IF($J213&lt;0.5*$M213,"PEDIR traslado","—"))))</f>
        <v/>
      </c>
    </row>
    <row r="214" ht="15" customHeight="1" s="47">
      <c r="A214" s="182" t="inlineStr">
        <is>
          <t>T05</t>
        </is>
      </c>
      <c r="B214" s="182" t="inlineStr">
        <is>
          <t>EL-050</t>
        </is>
      </c>
      <c r="C214" s="59">
        <f>IFERROR(INDEX(Productos!$B$5:$B$124,MATCH($B214,Productos!$A$5:$A$124,0)),"")</f>
        <v/>
      </c>
      <c r="D214" s="59">
        <f>IFERROR(INDEX(Productos!$D$5:$D$124,MATCH($B214,Productos!$A$5:$A$124,0)),"")</f>
        <v/>
      </c>
      <c r="E214" s="186" t="n">
        <v>0</v>
      </c>
      <c r="F214" s="70">
        <f>IF($B214="",0,SUMIFS(Ventas!$F$5:$F$504,Ventas!$B$5:$B$504,$A214,Ventas!$C$5:$C$504,$B214))</f>
        <v/>
      </c>
      <c r="G214" s="71">
        <f>IF($B214="",0,SUMIFS(Ventas!$L$5:$L$504,Ventas!$B$5:$B$504,$A214,Ventas!$C$5:$C$504,$B214))</f>
        <v/>
      </c>
      <c r="H214" s="71">
        <f>IF($B214="",0,SUMIFS(Ventas!$P$5:$P$504,Ventas!$B$5:$B$504,$A214,Ventas!$C$5:$C$504,$B214))</f>
        <v/>
      </c>
      <c r="I214" s="72">
        <f>IF($F214=0,0,$F214/Inicio!$C$22)</f>
        <v/>
      </c>
      <c r="J214" s="73">
        <f>IF($I214=0,"",ROUND($E214/$I214,0))</f>
        <v/>
      </c>
      <c r="K214" s="71">
        <f>IF($B214="",0,$E214*IFERROR(INDEX(Productos!$G$5:$G$124,MATCH($B214,Productos!$A$5:$A$124,0)),0))</f>
        <v/>
      </c>
      <c r="L214" s="71">
        <f>IF($K214=0,0,$K214*Inicio!$C$25/365*Inicio!$C$22)</f>
        <v/>
      </c>
      <c r="M214" s="73">
        <f>IF($B214="","",IF(SUMIF($B$5:$B$304,$B214,$F$5:$F$304)=0,"",ROUND(SUMIF($B$5:$B$304,$B214,$E$5:$E$304)/(SUMIF($B$5:$B$304,$B214,$F$5:$F$304)/Inicio!$C$22),0)))</f>
        <v/>
      </c>
      <c r="N214" s="74">
        <f>IF($B214="","",IF(AND($E214&lt;=0,$F214&gt;0),"QUIEBRE",IF(AND($F214=0,$E214&gt;0),"SIN ROTACIÓN",IF($J214="","",IF($J214&lt;Inicio!$C$23,"RIESGO DE QUIEBRE",IF($J214&gt;Inicio!$C$24*1.5,"EXCESO","SANO"))))))</f>
        <v/>
      </c>
      <c r="O214" s="74">
        <f>IF($M214="","",IF($J214="","",IF($J214&gt;2*$M214,"ENVIAR a otra tienda",IF($J214&lt;0.5*$M214,"PEDIR traslado","—"))))</f>
        <v/>
      </c>
    </row>
    <row r="215" ht="15" customHeight="1" s="47">
      <c r="A215" s="182" t="inlineStr">
        <is>
          <t>T06</t>
        </is>
      </c>
      <c r="B215" s="182" t="inlineStr">
        <is>
          <t>EL-001</t>
        </is>
      </c>
      <c r="C215" s="59">
        <f>IFERROR(INDEX(Productos!$B$5:$B$124,MATCH($B215,Productos!$A$5:$A$124,0)),"")</f>
        <v/>
      </c>
      <c r="D215" s="59">
        <f>IFERROR(INDEX(Productos!$D$5:$D$124,MATCH($B215,Productos!$A$5:$A$124,0)),"")</f>
        <v/>
      </c>
      <c r="E215" s="186" t="n">
        <v>1</v>
      </c>
      <c r="F215" s="70">
        <f>IF($B215="",0,SUMIFS(Ventas!$F$5:$F$504,Ventas!$B$5:$B$504,$A215,Ventas!$C$5:$C$504,$B215))</f>
        <v/>
      </c>
      <c r="G215" s="71">
        <f>IF($B215="",0,SUMIFS(Ventas!$L$5:$L$504,Ventas!$B$5:$B$504,$A215,Ventas!$C$5:$C$504,$B215))</f>
        <v/>
      </c>
      <c r="H215" s="71">
        <f>IF($B215="",0,SUMIFS(Ventas!$P$5:$P$504,Ventas!$B$5:$B$504,$A215,Ventas!$C$5:$C$504,$B215))</f>
        <v/>
      </c>
      <c r="I215" s="72">
        <f>IF($F215=0,0,$F215/Inicio!$C$22)</f>
        <v/>
      </c>
      <c r="J215" s="73">
        <f>IF($I215=0,"",ROUND($E215/$I215,0))</f>
        <v/>
      </c>
      <c r="K215" s="71">
        <f>IF($B215="",0,$E215*IFERROR(INDEX(Productos!$G$5:$G$124,MATCH($B215,Productos!$A$5:$A$124,0)),0))</f>
        <v/>
      </c>
      <c r="L215" s="71">
        <f>IF($K215=0,0,$K215*Inicio!$C$25/365*Inicio!$C$22)</f>
        <v/>
      </c>
      <c r="M215" s="73">
        <f>IF($B215="","",IF(SUMIF($B$5:$B$304,$B215,$F$5:$F$304)=0,"",ROUND(SUMIF($B$5:$B$304,$B215,$E$5:$E$304)/(SUMIF($B$5:$B$304,$B215,$F$5:$F$304)/Inicio!$C$22),0)))</f>
        <v/>
      </c>
      <c r="N215" s="74">
        <f>IF($B215="","",IF(AND($E215&lt;=0,$F215&gt;0),"QUIEBRE",IF(AND($F215=0,$E215&gt;0),"SIN ROTACIÓN",IF($J215="","",IF($J215&lt;Inicio!$C$23,"RIESGO DE QUIEBRE",IF($J215&gt;Inicio!$C$24*1.5,"EXCESO","SANO"))))))</f>
        <v/>
      </c>
      <c r="O215" s="74">
        <f>IF($M215="","",IF($J215="","",IF($J215&gt;2*$M215,"ENVIAR a otra tienda",IF($J215&lt;0.5*$M215,"PEDIR traslado","—"))))</f>
        <v/>
      </c>
    </row>
    <row r="216" ht="15" customHeight="1" s="47">
      <c r="A216" s="182" t="inlineStr">
        <is>
          <t>T06</t>
        </is>
      </c>
      <c r="B216" s="182" t="inlineStr">
        <is>
          <t>EL-003</t>
        </is>
      </c>
      <c r="C216" s="59">
        <f>IFERROR(INDEX(Productos!$B$5:$B$124,MATCH($B216,Productos!$A$5:$A$124,0)),"")</f>
        <v/>
      </c>
      <c r="D216" s="59">
        <f>IFERROR(INDEX(Productos!$D$5:$D$124,MATCH($B216,Productos!$A$5:$A$124,0)),"")</f>
        <v/>
      </c>
      <c r="E216" s="186" t="n">
        <v>4</v>
      </c>
      <c r="F216" s="70">
        <f>IF($B216="",0,SUMIFS(Ventas!$F$5:$F$504,Ventas!$B$5:$B$504,$A216,Ventas!$C$5:$C$504,$B216))</f>
        <v/>
      </c>
      <c r="G216" s="71">
        <f>IF($B216="",0,SUMIFS(Ventas!$L$5:$L$504,Ventas!$B$5:$B$504,$A216,Ventas!$C$5:$C$504,$B216))</f>
        <v/>
      </c>
      <c r="H216" s="71">
        <f>IF($B216="",0,SUMIFS(Ventas!$P$5:$P$504,Ventas!$B$5:$B$504,$A216,Ventas!$C$5:$C$504,$B216))</f>
        <v/>
      </c>
      <c r="I216" s="72">
        <f>IF($F216=0,0,$F216/Inicio!$C$22)</f>
        <v/>
      </c>
      <c r="J216" s="73">
        <f>IF($I216=0,"",ROUND($E216/$I216,0))</f>
        <v/>
      </c>
      <c r="K216" s="71">
        <f>IF($B216="",0,$E216*IFERROR(INDEX(Productos!$G$5:$G$124,MATCH($B216,Productos!$A$5:$A$124,0)),0))</f>
        <v/>
      </c>
      <c r="L216" s="71">
        <f>IF($K216=0,0,$K216*Inicio!$C$25/365*Inicio!$C$22)</f>
        <v/>
      </c>
      <c r="M216" s="73">
        <f>IF($B216="","",IF(SUMIF($B$5:$B$304,$B216,$F$5:$F$304)=0,"",ROUND(SUMIF($B$5:$B$304,$B216,$E$5:$E$304)/(SUMIF($B$5:$B$304,$B216,$F$5:$F$304)/Inicio!$C$22),0)))</f>
        <v/>
      </c>
      <c r="N216" s="74">
        <f>IF($B216="","",IF(AND($E216&lt;=0,$F216&gt;0),"QUIEBRE",IF(AND($F216=0,$E216&gt;0),"SIN ROTACIÓN",IF($J216="","",IF($J216&lt;Inicio!$C$23,"RIESGO DE QUIEBRE",IF($J216&gt;Inicio!$C$24*1.5,"EXCESO","SANO"))))))</f>
        <v/>
      </c>
      <c r="O216" s="74">
        <f>IF($M216="","",IF($J216="","",IF($J216&gt;2*$M216,"ENVIAR a otra tienda",IF($J216&lt;0.5*$M216,"PEDIR traslado","—"))))</f>
        <v/>
      </c>
    </row>
    <row r="217" ht="15" customHeight="1" s="47">
      <c r="A217" s="182" t="inlineStr">
        <is>
          <t>T06</t>
        </is>
      </c>
      <c r="B217" s="182" t="inlineStr">
        <is>
          <t>EL-005</t>
        </is>
      </c>
      <c r="C217" s="59">
        <f>IFERROR(INDEX(Productos!$B$5:$B$124,MATCH($B217,Productos!$A$5:$A$124,0)),"")</f>
        <v/>
      </c>
      <c r="D217" s="59">
        <f>IFERROR(INDEX(Productos!$D$5:$D$124,MATCH($B217,Productos!$A$5:$A$124,0)),"")</f>
        <v/>
      </c>
      <c r="E217" s="186" t="n">
        <v>4</v>
      </c>
      <c r="F217" s="70">
        <f>IF($B217="",0,SUMIFS(Ventas!$F$5:$F$504,Ventas!$B$5:$B$504,$A217,Ventas!$C$5:$C$504,$B217))</f>
        <v/>
      </c>
      <c r="G217" s="71">
        <f>IF($B217="",0,SUMIFS(Ventas!$L$5:$L$504,Ventas!$B$5:$B$504,$A217,Ventas!$C$5:$C$504,$B217))</f>
        <v/>
      </c>
      <c r="H217" s="71">
        <f>IF($B217="",0,SUMIFS(Ventas!$P$5:$P$504,Ventas!$B$5:$B$504,$A217,Ventas!$C$5:$C$504,$B217))</f>
        <v/>
      </c>
      <c r="I217" s="72">
        <f>IF($F217=0,0,$F217/Inicio!$C$22)</f>
        <v/>
      </c>
      <c r="J217" s="73">
        <f>IF($I217=0,"",ROUND($E217/$I217,0))</f>
        <v/>
      </c>
      <c r="K217" s="71">
        <f>IF($B217="",0,$E217*IFERROR(INDEX(Productos!$G$5:$G$124,MATCH($B217,Productos!$A$5:$A$124,0)),0))</f>
        <v/>
      </c>
      <c r="L217" s="71">
        <f>IF($K217=0,0,$K217*Inicio!$C$25/365*Inicio!$C$22)</f>
        <v/>
      </c>
      <c r="M217" s="73">
        <f>IF($B217="","",IF(SUMIF($B$5:$B$304,$B217,$F$5:$F$304)=0,"",ROUND(SUMIF($B$5:$B$304,$B217,$E$5:$E$304)/(SUMIF($B$5:$B$304,$B217,$F$5:$F$304)/Inicio!$C$22),0)))</f>
        <v/>
      </c>
      <c r="N217" s="74">
        <f>IF($B217="","",IF(AND($E217&lt;=0,$F217&gt;0),"QUIEBRE",IF(AND($F217=0,$E217&gt;0),"SIN ROTACIÓN",IF($J217="","",IF($J217&lt;Inicio!$C$23,"RIESGO DE QUIEBRE",IF($J217&gt;Inicio!$C$24*1.5,"EXCESO","SANO"))))))</f>
        <v/>
      </c>
      <c r="O217" s="74">
        <f>IF($M217="","",IF($J217="","",IF($J217&gt;2*$M217,"ENVIAR a otra tienda",IF($J217&lt;0.5*$M217,"PEDIR traslado","—"))))</f>
        <v/>
      </c>
    </row>
    <row r="218" ht="15" customHeight="1" s="47">
      <c r="A218" s="182" t="inlineStr">
        <is>
          <t>T06</t>
        </is>
      </c>
      <c r="B218" s="182" t="inlineStr">
        <is>
          <t>EL-006</t>
        </is>
      </c>
      <c r="C218" s="59">
        <f>IFERROR(INDEX(Productos!$B$5:$B$124,MATCH($B218,Productos!$A$5:$A$124,0)),"")</f>
        <v/>
      </c>
      <c r="D218" s="59">
        <f>IFERROR(INDEX(Productos!$D$5:$D$124,MATCH($B218,Productos!$A$5:$A$124,0)),"")</f>
        <v/>
      </c>
      <c r="E218" s="186" t="n">
        <v>5</v>
      </c>
      <c r="F218" s="70">
        <f>IF($B218="",0,SUMIFS(Ventas!$F$5:$F$504,Ventas!$B$5:$B$504,$A218,Ventas!$C$5:$C$504,$B218))</f>
        <v/>
      </c>
      <c r="G218" s="71">
        <f>IF($B218="",0,SUMIFS(Ventas!$L$5:$L$504,Ventas!$B$5:$B$504,$A218,Ventas!$C$5:$C$504,$B218))</f>
        <v/>
      </c>
      <c r="H218" s="71">
        <f>IF($B218="",0,SUMIFS(Ventas!$P$5:$P$504,Ventas!$B$5:$B$504,$A218,Ventas!$C$5:$C$504,$B218))</f>
        <v/>
      </c>
      <c r="I218" s="72">
        <f>IF($F218=0,0,$F218/Inicio!$C$22)</f>
        <v/>
      </c>
      <c r="J218" s="73">
        <f>IF($I218=0,"",ROUND($E218/$I218,0))</f>
        <v/>
      </c>
      <c r="K218" s="71">
        <f>IF($B218="",0,$E218*IFERROR(INDEX(Productos!$G$5:$G$124,MATCH($B218,Productos!$A$5:$A$124,0)),0))</f>
        <v/>
      </c>
      <c r="L218" s="71">
        <f>IF($K218=0,0,$K218*Inicio!$C$25/365*Inicio!$C$22)</f>
        <v/>
      </c>
      <c r="M218" s="73">
        <f>IF($B218="","",IF(SUMIF($B$5:$B$304,$B218,$F$5:$F$304)=0,"",ROUND(SUMIF($B$5:$B$304,$B218,$E$5:$E$304)/(SUMIF($B$5:$B$304,$B218,$F$5:$F$304)/Inicio!$C$22),0)))</f>
        <v/>
      </c>
      <c r="N218" s="74">
        <f>IF($B218="","",IF(AND($E218&lt;=0,$F218&gt;0),"QUIEBRE",IF(AND($F218=0,$E218&gt;0),"SIN ROTACIÓN",IF($J218="","",IF($J218&lt;Inicio!$C$23,"RIESGO DE QUIEBRE",IF($J218&gt;Inicio!$C$24*1.5,"EXCESO","SANO"))))))</f>
        <v/>
      </c>
      <c r="O218" s="74">
        <f>IF($M218="","",IF($J218="","",IF($J218&gt;2*$M218,"ENVIAR a otra tienda",IF($J218&lt;0.5*$M218,"PEDIR traslado","—"))))</f>
        <v/>
      </c>
    </row>
    <row r="219" ht="15" customHeight="1" s="47">
      <c r="A219" s="182" t="inlineStr">
        <is>
          <t>T06</t>
        </is>
      </c>
      <c r="B219" s="182" t="inlineStr">
        <is>
          <t>EL-008</t>
        </is>
      </c>
      <c r="C219" s="59">
        <f>IFERROR(INDEX(Productos!$B$5:$B$124,MATCH($B219,Productos!$A$5:$A$124,0)),"")</f>
        <v/>
      </c>
      <c r="D219" s="59">
        <f>IFERROR(INDEX(Productos!$D$5:$D$124,MATCH($B219,Productos!$A$5:$A$124,0)),"")</f>
        <v/>
      </c>
      <c r="E219" s="186" t="n">
        <v>20</v>
      </c>
      <c r="F219" s="70">
        <f>IF($B219="",0,SUMIFS(Ventas!$F$5:$F$504,Ventas!$B$5:$B$504,$A219,Ventas!$C$5:$C$504,$B219))</f>
        <v/>
      </c>
      <c r="G219" s="71">
        <f>IF($B219="",0,SUMIFS(Ventas!$L$5:$L$504,Ventas!$B$5:$B$504,$A219,Ventas!$C$5:$C$504,$B219))</f>
        <v/>
      </c>
      <c r="H219" s="71">
        <f>IF($B219="",0,SUMIFS(Ventas!$P$5:$P$504,Ventas!$B$5:$B$504,$A219,Ventas!$C$5:$C$504,$B219))</f>
        <v/>
      </c>
      <c r="I219" s="72">
        <f>IF($F219=0,0,$F219/Inicio!$C$22)</f>
        <v/>
      </c>
      <c r="J219" s="73">
        <f>IF($I219=0,"",ROUND($E219/$I219,0))</f>
        <v/>
      </c>
      <c r="K219" s="71">
        <f>IF($B219="",0,$E219*IFERROR(INDEX(Productos!$G$5:$G$124,MATCH($B219,Productos!$A$5:$A$124,0)),0))</f>
        <v/>
      </c>
      <c r="L219" s="71">
        <f>IF($K219=0,0,$K219*Inicio!$C$25/365*Inicio!$C$22)</f>
        <v/>
      </c>
      <c r="M219" s="73">
        <f>IF($B219="","",IF(SUMIF($B$5:$B$304,$B219,$F$5:$F$304)=0,"",ROUND(SUMIF($B$5:$B$304,$B219,$E$5:$E$304)/(SUMIF($B$5:$B$304,$B219,$F$5:$F$304)/Inicio!$C$22),0)))</f>
        <v/>
      </c>
      <c r="N219" s="74">
        <f>IF($B219="","",IF(AND($E219&lt;=0,$F219&gt;0),"QUIEBRE",IF(AND($F219=0,$E219&gt;0),"SIN ROTACIÓN",IF($J219="","",IF($J219&lt;Inicio!$C$23,"RIESGO DE QUIEBRE",IF($J219&gt;Inicio!$C$24*1.5,"EXCESO","SANO"))))))</f>
        <v/>
      </c>
      <c r="O219" s="74">
        <f>IF($M219="","",IF($J219="","",IF($J219&gt;2*$M219,"ENVIAR a otra tienda",IF($J219&lt;0.5*$M219,"PEDIR traslado","—"))))</f>
        <v/>
      </c>
    </row>
    <row r="220" ht="15" customHeight="1" s="47">
      <c r="A220" s="182" t="inlineStr">
        <is>
          <t>T06</t>
        </is>
      </c>
      <c r="B220" s="182" t="inlineStr">
        <is>
          <t>EL-011</t>
        </is>
      </c>
      <c r="C220" s="59">
        <f>IFERROR(INDEX(Productos!$B$5:$B$124,MATCH($B220,Productos!$A$5:$A$124,0)),"")</f>
        <v/>
      </c>
      <c r="D220" s="59">
        <f>IFERROR(INDEX(Productos!$D$5:$D$124,MATCH($B220,Productos!$A$5:$A$124,0)),"")</f>
        <v/>
      </c>
      <c r="E220" s="186" t="n">
        <v>0</v>
      </c>
      <c r="F220" s="70">
        <f>IF($B220="",0,SUMIFS(Ventas!$F$5:$F$504,Ventas!$B$5:$B$504,$A220,Ventas!$C$5:$C$504,$B220))</f>
        <v/>
      </c>
      <c r="G220" s="71">
        <f>IF($B220="",0,SUMIFS(Ventas!$L$5:$L$504,Ventas!$B$5:$B$504,$A220,Ventas!$C$5:$C$504,$B220))</f>
        <v/>
      </c>
      <c r="H220" s="71">
        <f>IF($B220="",0,SUMIFS(Ventas!$P$5:$P$504,Ventas!$B$5:$B$504,$A220,Ventas!$C$5:$C$504,$B220))</f>
        <v/>
      </c>
      <c r="I220" s="72">
        <f>IF($F220=0,0,$F220/Inicio!$C$22)</f>
        <v/>
      </c>
      <c r="J220" s="73">
        <f>IF($I220=0,"",ROUND($E220/$I220,0))</f>
        <v/>
      </c>
      <c r="K220" s="71">
        <f>IF($B220="",0,$E220*IFERROR(INDEX(Productos!$G$5:$G$124,MATCH($B220,Productos!$A$5:$A$124,0)),0))</f>
        <v/>
      </c>
      <c r="L220" s="71">
        <f>IF($K220=0,0,$K220*Inicio!$C$25/365*Inicio!$C$22)</f>
        <v/>
      </c>
      <c r="M220" s="73">
        <f>IF($B220="","",IF(SUMIF($B$5:$B$304,$B220,$F$5:$F$304)=0,"",ROUND(SUMIF($B$5:$B$304,$B220,$E$5:$E$304)/(SUMIF($B$5:$B$304,$B220,$F$5:$F$304)/Inicio!$C$22),0)))</f>
        <v/>
      </c>
      <c r="N220" s="74">
        <f>IF($B220="","",IF(AND($E220&lt;=0,$F220&gt;0),"QUIEBRE",IF(AND($F220=0,$E220&gt;0),"SIN ROTACIÓN",IF($J220="","",IF($J220&lt;Inicio!$C$23,"RIESGO DE QUIEBRE",IF($J220&gt;Inicio!$C$24*1.5,"EXCESO","SANO"))))))</f>
        <v/>
      </c>
      <c r="O220" s="74">
        <f>IF($M220="","",IF($J220="","",IF($J220&gt;2*$M220,"ENVIAR a otra tienda",IF($J220&lt;0.5*$M220,"PEDIR traslado","—"))))</f>
        <v/>
      </c>
    </row>
    <row r="221" ht="15" customHeight="1" s="47">
      <c r="A221" s="182" t="inlineStr">
        <is>
          <t>T06</t>
        </is>
      </c>
      <c r="B221" s="182" t="inlineStr">
        <is>
          <t>EL-012</t>
        </is>
      </c>
      <c r="C221" s="59">
        <f>IFERROR(INDEX(Productos!$B$5:$B$124,MATCH($B221,Productos!$A$5:$A$124,0)),"")</f>
        <v/>
      </c>
      <c r="D221" s="59">
        <f>IFERROR(INDEX(Productos!$D$5:$D$124,MATCH($B221,Productos!$A$5:$A$124,0)),"")</f>
        <v/>
      </c>
      <c r="E221" s="186" t="n">
        <v>2</v>
      </c>
      <c r="F221" s="70">
        <f>IF($B221="",0,SUMIFS(Ventas!$F$5:$F$504,Ventas!$B$5:$B$504,$A221,Ventas!$C$5:$C$504,$B221))</f>
        <v/>
      </c>
      <c r="G221" s="71">
        <f>IF($B221="",0,SUMIFS(Ventas!$L$5:$L$504,Ventas!$B$5:$B$504,$A221,Ventas!$C$5:$C$504,$B221))</f>
        <v/>
      </c>
      <c r="H221" s="71">
        <f>IF($B221="",0,SUMIFS(Ventas!$P$5:$P$504,Ventas!$B$5:$B$504,$A221,Ventas!$C$5:$C$504,$B221))</f>
        <v/>
      </c>
      <c r="I221" s="72">
        <f>IF($F221=0,0,$F221/Inicio!$C$22)</f>
        <v/>
      </c>
      <c r="J221" s="73">
        <f>IF($I221=0,"",ROUND($E221/$I221,0))</f>
        <v/>
      </c>
      <c r="K221" s="71">
        <f>IF($B221="",0,$E221*IFERROR(INDEX(Productos!$G$5:$G$124,MATCH($B221,Productos!$A$5:$A$124,0)),0))</f>
        <v/>
      </c>
      <c r="L221" s="71">
        <f>IF($K221=0,0,$K221*Inicio!$C$25/365*Inicio!$C$22)</f>
        <v/>
      </c>
      <c r="M221" s="73">
        <f>IF($B221="","",IF(SUMIF($B$5:$B$304,$B221,$F$5:$F$304)=0,"",ROUND(SUMIF($B$5:$B$304,$B221,$E$5:$E$304)/(SUMIF($B$5:$B$304,$B221,$F$5:$F$304)/Inicio!$C$22),0)))</f>
        <v/>
      </c>
      <c r="N221" s="74">
        <f>IF($B221="","",IF(AND($E221&lt;=0,$F221&gt;0),"QUIEBRE",IF(AND($F221=0,$E221&gt;0),"SIN ROTACIÓN",IF($J221="","",IF($J221&lt;Inicio!$C$23,"RIESGO DE QUIEBRE",IF($J221&gt;Inicio!$C$24*1.5,"EXCESO","SANO"))))))</f>
        <v/>
      </c>
      <c r="O221" s="74">
        <f>IF($M221="","",IF($J221="","",IF($J221&gt;2*$M221,"ENVIAR a otra tienda",IF($J221&lt;0.5*$M221,"PEDIR traslado","—"))))</f>
        <v/>
      </c>
    </row>
    <row r="222" ht="15" customHeight="1" s="47">
      <c r="A222" s="182" t="inlineStr">
        <is>
          <t>T06</t>
        </is>
      </c>
      <c r="B222" s="182" t="inlineStr">
        <is>
          <t>EL-013</t>
        </is>
      </c>
      <c r="C222" s="59">
        <f>IFERROR(INDEX(Productos!$B$5:$B$124,MATCH($B222,Productos!$A$5:$A$124,0)),"")</f>
        <v/>
      </c>
      <c r="D222" s="59">
        <f>IFERROR(INDEX(Productos!$D$5:$D$124,MATCH($B222,Productos!$A$5:$A$124,0)),"")</f>
        <v/>
      </c>
      <c r="E222" s="186" t="n">
        <v>5</v>
      </c>
      <c r="F222" s="70">
        <f>IF($B222="",0,SUMIFS(Ventas!$F$5:$F$504,Ventas!$B$5:$B$504,$A222,Ventas!$C$5:$C$504,$B222))</f>
        <v/>
      </c>
      <c r="G222" s="71">
        <f>IF($B222="",0,SUMIFS(Ventas!$L$5:$L$504,Ventas!$B$5:$B$504,$A222,Ventas!$C$5:$C$504,$B222))</f>
        <v/>
      </c>
      <c r="H222" s="71">
        <f>IF($B222="",0,SUMIFS(Ventas!$P$5:$P$504,Ventas!$B$5:$B$504,$A222,Ventas!$C$5:$C$504,$B222))</f>
        <v/>
      </c>
      <c r="I222" s="72">
        <f>IF($F222=0,0,$F222/Inicio!$C$22)</f>
        <v/>
      </c>
      <c r="J222" s="73">
        <f>IF($I222=0,"",ROUND($E222/$I222,0))</f>
        <v/>
      </c>
      <c r="K222" s="71">
        <f>IF($B222="",0,$E222*IFERROR(INDEX(Productos!$G$5:$G$124,MATCH($B222,Productos!$A$5:$A$124,0)),0))</f>
        <v/>
      </c>
      <c r="L222" s="71">
        <f>IF($K222=0,0,$K222*Inicio!$C$25/365*Inicio!$C$22)</f>
        <v/>
      </c>
      <c r="M222" s="73">
        <f>IF($B222="","",IF(SUMIF($B$5:$B$304,$B222,$F$5:$F$304)=0,"",ROUND(SUMIF($B$5:$B$304,$B222,$E$5:$E$304)/(SUMIF($B$5:$B$304,$B222,$F$5:$F$304)/Inicio!$C$22),0)))</f>
        <v/>
      </c>
      <c r="N222" s="74">
        <f>IF($B222="","",IF(AND($E222&lt;=0,$F222&gt;0),"QUIEBRE",IF(AND($F222=0,$E222&gt;0),"SIN ROTACIÓN",IF($J222="","",IF($J222&lt;Inicio!$C$23,"RIESGO DE QUIEBRE",IF($J222&gt;Inicio!$C$24*1.5,"EXCESO","SANO"))))))</f>
        <v/>
      </c>
      <c r="O222" s="74">
        <f>IF($M222="","",IF($J222="","",IF($J222&gt;2*$M222,"ENVIAR a otra tienda",IF($J222&lt;0.5*$M222,"PEDIR traslado","—"))))</f>
        <v/>
      </c>
    </row>
    <row r="223" ht="15" customHeight="1" s="47">
      <c r="A223" s="182" t="inlineStr">
        <is>
          <t>T06</t>
        </is>
      </c>
      <c r="B223" s="182" t="inlineStr">
        <is>
          <t>EL-016</t>
        </is>
      </c>
      <c r="C223" s="59">
        <f>IFERROR(INDEX(Productos!$B$5:$B$124,MATCH($B223,Productos!$A$5:$A$124,0)),"")</f>
        <v/>
      </c>
      <c r="D223" s="59">
        <f>IFERROR(INDEX(Productos!$D$5:$D$124,MATCH($B223,Productos!$A$5:$A$124,0)),"")</f>
        <v/>
      </c>
      <c r="E223" s="186" t="n">
        <v>7</v>
      </c>
      <c r="F223" s="70">
        <f>IF($B223="",0,SUMIFS(Ventas!$F$5:$F$504,Ventas!$B$5:$B$504,$A223,Ventas!$C$5:$C$504,$B223))</f>
        <v/>
      </c>
      <c r="G223" s="71">
        <f>IF($B223="",0,SUMIFS(Ventas!$L$5:$L$504,Ventas!$B$5:$B$504,$A223,Ventas!$C$5:$C$504,$B223))</f>
        <v/>
      </c>
      <c r="H223" s="71">
        <f>IF($B223="",0,SUMIFS(Ventas!$P$5:$P$504,Ventas!$B$5:$B$504,$A223,Ventas!$C$5:$C$504,$B223))</f>
        <v/>
      </c>
      <c r="I223" s="72">
        <f>IF($F223=0,0,$F223/Inicio!$C$22)</f>
        <v/>
      </c>
      <c r="J223" s="73">
        <f>IF($I223=0,"",ROUND($E223/$I223,0))</f>
        <v/>
      </c>
      <c r="K223" s="71">
        <f>IF($B223="",0,$E223*IFERROR(INDEX(Productos!$G$5:$G$124,MATCH($B223,Productos!$A$5:$A$124,0)),0))</f>
        <v/>
      </c>
      <c r="L223" s="71">
        <f>IF($K223=0,0,$K223*Inicio!$C$25/365*Inicio!$C$22)</f>
        <v/>
      </c>
      <c r="M223" s="73">
        <f>IF($B223="","",IF(SUMIF($B$5:$B$304,$B223,$F$5:$F$304)=0,"",ROUND(SUMIF($B$5:$B$304,$B223,$E$5:$E$304)/(SUMIF($B$5:$B$304,$B223,$F$5:$F$304)/Inicio!$C$22),0)))</f>
        <v/>
      </c>
      <c r="N223" s="74">
        <f>IF($B223="","",IF(AND($E223&lt;=0,$F223&gt;0),"QUIEBRE",IF(AND($F223=0,$E223&gt;0),"SIN ROTACIÓN",IF($J223="","",IF($J223&lt;Inicio!$C$23,"RIESGO DE QUIEBRE",IF($J223&gt;Inicio!$C$24*1.5,"EXCESO","SANO"))))))</f>
        <v/>
      </c>
      <c r="O223" s="74">
        <f>IF($M223="","",IF($J223="","",IF($J223&gt;2*$M223,"ENVIAR a otra tienda",IF($J223&lt;0.5*$M223,"PEDIR traslado","—"))))</f>
        <v/>
      </c>
    </row>
    <row r="224" ht="15" customHeight="1" s="47">
      <c r="A224" s="182" t="inlineStr">
        <is>
          <t>T06</t>
        </is>
      </c>
      <c r="B224" s="182" t="inlineStr">
        <is>
          <t>EL-018</t>
        </is>
      </c>
      <c r="C224" s="59">
        <f>IFERROR(INDEX(Productos!$B$5:$B$124,MATCH($B224,Productos!$A$5:$A$124,0)),"")</f>
        <v/>
      </c>
      <c r="D224" s="59">
        <f>IFERROR(INDEX(Productos!$D$5:$D$124,MATCH($B224,Productos!$A$5:$A$124,0)),"")</f>
        <v/>
      </c>
      <c r="E224" s="186" t="n">
        <v>0</v>
      </c>
      <c r="F224" s="70">
        <f>IF($B224="",0,SUMIFS(Ventas!$F$5:$F$504,Ventas!$B$5:$B$504,$A224,Ventas!$C$5:$C$504,$B224))</f>
        <v/>
      </c>
      <c r="G224" s="71">
        <f>IF($B224="",0,SUMIFS(Ventas!$L$5:$L$504,Ventas!$B$5:$B$504,$A224,Ventas!$C$5:$C$504,$B224))</f>
        <v/>
      </c>
      <c r="H224" s="71">
        <f>IF($B224="",0,SUMIFS(Ventas!$P$5:$P$504,Ventas!$B$5:$B$504,$A224,Ventas!$C$5:$C$504,$B224))</f>
        <v/>
      </c>
      <c r="I224" s="72">
        <f>IF($F224=0,0,$F224/Inicio!$C$22)</f>
        <v/>
      </c>
      <c r="J224" s="73">
        <f>IF($I224=0,"",ROUND($E224/$I224,0))</f>
        <v/>
      </c>
      <c r="K224" s="71">
        <f>IF($B224="",0,$E224*IFERROR(INDEX(Productos!$G$5:$G$124,MATCH($B224,Productos!$A$5:$A$124,0)),0))</f>
        <v/>
      </c>
      <c r="L224" s="71">
        <f>IF($K224=0,0,$K224*Inicio!$C$25/365*Inicio!$C$22)</f>
        <v/>
      </c>
      <c r="M224" s="73">
        <f>IF($B224="","",IF(SUMIF($B$5:$B$304,$B224,$F$5:$F$304)=0,"",ROUND(SUMIF($B$5:$B$304,$B224,$E$5:$E$304)/(SUMIF($B$5:$B$304,$B224,$F$5:$F$304)/Inicio!$C$22),0)))</f>
        <v/>
      </c>
      <c r="N224" s="74">
        <f>IF($B224="","",IF(AND($E224&lt;=0,$F224&gt;0),"QUIEBRE",IF(AND($F224=0,$E224&gt;0),"SIN ROTACIÓN",IF($J224="","",IF($J224&lt;Inicio!$C$23,"RIESGO DE QUIEBRE",IF($J224&gt;Inicio!$C$24*1.5,"EXCESO","SANO"))))))</f>
        <v/>
      </c>
      <c r="O224" s="74">
        <f>IF($M224="","",IF($J224="","",IF($J224&gt;2*$M224,"ENVIAR a otra tienda",IF($J224&lt;0.5*$M224,"PEDIR traslado","—"))))</f>
        <v/>
      </c>
    </row>
    <row r="225" ht="15" customHeight="1" s="47">
      <c r="A225" s="182" t="inlineStr">
        <is>
          <t>T06</t>
        </is>
      </c>
      <c r="B225" s="182" t="inlineStr">
        <is>
          <t>EL-020</t>
        </is>
      </c>
      <c r="C225" s="59">
        <f>IFERROR(INDEX(Productos!$B$5:$B$124,MATCH($B225,Productos!$A$5:$A$124,0)),"")</f>
        <v/>
      </c>
      <c r="D225" s="59">
        <f>IFERROR(INDEX(Productos!$D$5:$D$124,MATCH($B225,Productos!$A$5:$A$124,0)),"")</f>
        <v/>
      </c>
      <c r="E225" s="186" t="n">
        <v>4</v>
      </c>
      <c r="F225" s="70">
        <f>IF($B225="",0,SUMIFS(Ventas!$F$5:$F$504,Ventas!$B$5:$B$504,$A225,Ventas!$C$5:$C$504,$B225))</f>
        <v/>
      </c>
      <c r="G225" s="71">
        <f>IF($B225="",0,SUMIFS(Ventas!$L$5:$L$504,Ventas!$B$5:$B$504,$A225,Ventas!$C$5:$C$504,$B225))</f>
        <v/>
      </c>
      <c r="H225" s="71">
        <f>IF($B225="",0,SUMIFS(Ventas!$P$5:$P$504,Ventas!$B$5:$B$504,$A225,Ventas!$C$5:$C$504,$B225))</f>
        <v/>
      </c>
      <c r="I225" s="72">
        <f>IF($F225=0,0,$F225/Inicio!$C$22)</f>
        <v/>
      </c>
      <c r="J225" s="73">
        <f>IF($I225=0,"",ROUND($E225/$I225,0))</f>
        <v/>
      </c>
      <c r="K225" s="71">
        <f>IF($B225="",0,$E225*IFERROR(INDEX(Productos!$G$5:$G$124,MATCH($B225,Productos!$A$5:$A$124,0)),0))</f>
        <v/>
      </c>
      <c r="L225" s="71">
        <f>IF($K225=0,0,$K225*Inicio!$C$25/365*Inicio!$C$22)</f>
        <v/>
      </c>
      <c r="M225" s="73">
        <f>IF($B225="","",IF(SUMIF($B$5:$B$304,$B225,$F$5:$F$304)=0,"",ROUND(SUMIF($B$5:$B$304,$B225,$E$5:$E$304)/(SUMIF($B$5:$B$304,$B225,$F$5:$F$304)/Inicio!$C$22),0)))</f>
        <v/>
      </c>
      <c r="N225" s="74">
        <f>IF($B225="","",IF(AND($E225&lt;=0,$F225&gt;0),"QUIEBRE",IF(AND($F225=0,$E225&gt;0),"SIN ROTACIÓN",IF($J225="","",IF($J225&lt;Inicio!$C$23,"RIESGO DE QUIEBRE",IF($J225&gt;Inicio!$C$24*1.5,"EXCESO","SANO"))))))</f>
        <v/>
      </c>
      <c r="O225" s="74">
        <f>IF($M225="","",IF($J225="","",IF($J225&gt;2*$M225,"ENVIAR a otra tienda",IF($J225&lt;0.5*$M225,"PEDIR traslado","—"))))</f>
        <v/>
      </c>
    </row>
    <row r="226" ht="15" customHeight="1" s="47">
      <c r="A226" s="182" t="inlineStr">
        <is>
          <t>T06</t>
        </is>
      </c>
      <c r="B226" s="182" t="inlineStr">
        <is>
          <t>EL-021</t>
        </is>
      </c>
      <c r="C226" s="59">
        <f>IFERROR(INDEX(Productos!$B$5:$B$124,MATCH($B226,Productos!$A$5:$A$124,0)),"")</f>
        <v/>
      </c>
      <c r="D226" s="59">
        <f>IFERROR(INDEX(Productos!$D$5:$D$124,MATCH($B226,Productos!$A$5:$A$124,0)),"")</f>
        <v/>
      </c>
      <c r="E226" s="186" t="n">
        <v>1</v>
      </c>
      <c r="F226" s="70">
        <f>IF($B226="",0,SUMIFS(Ventas!$F$5:$F$504,Ventas!$B$5:$B$504,$A226,Ventas!$C$5:$C$504,$B226))</f>
        <v/>
      </c>
      <c r="G226" s="71">
        <f>IF($B226="",0,SUMIFS(Ventas!$L$5:$L$504,Ventas!$B$5:$B$504,$A226,Ventas!$C$5:$C$504,$B226))</f>
        <v/>
      </c>
      <c r="H226" s="71">
        <f>IF($B226="",0,SUMIFS(Ventas!$P$5:$P$504,Ventas!$B$5:$B$504,$A226,Ventas!$C$5:$C$504,$B226))</f>
        <v/>
      </c>
      <c r="I226" s="72">
        <f>IF($F226=0,0,$F226/Inicio!$C$22)</f>
        <v/>
      </c>
      <c r="J226" s="73">
        <f>IF($I226=0,"",ROUND($E226/$I226,0))</f>
        <v/>
      </c>
      <c r="K226" s="71">
        <f>IF($B226="",0,$E226*IFERROR(INDEX(Productos!$G$5:$G$124,MATCH($B226,Productos!$A$5:$A$124,0)),0))</f>
        <v/>
      </c>
      <c r="L226" s="71">
        <f>IF($K226=0,0,$K226*Inicio!$C$25/365*Inicio!$C$22)</f>
        <v/>
      </c>
      <c r="M226" s="73">
        <f>IF($B226="","",IF(SUMIF($B$5:$B$304,$B226,$F$5:$F$304)=0,"",ROUND(SUMIF($B$5:$B$304,$B226,$E$5:$E$304)/(SUMIF($B$5:$B$304,$B226,$F$5:$F$304)/Inicio!$C$22),0)))</f>
        <v/>
      </c>
      <c r="N226" s="74">
        <f>IF($B226="","",IF(AND($E226&lt;=0,$F226&gt;0),"QUIEBRE",IF(AND($F226=0,$E226&gt;0),"SIN ROTACIÓN",IF($J226="","",IF($J226&lt;Inicio!$C$23,"RIESGO DE QUIEBRE",IF($J226&gt;Inicio!$C$24*1.5,"EXCESO","SANO"))))))</f>
        <v/>
      </c>
      <c r="O226" s="74">
        <f>IF($M226="","",IF($J226="","",IF($J226&gt;2*$M226,"ENVIAR a otra tienda",IF($J226&lt;0.5*$M226,"PEDIR traslado","—"))))</f>
        <v/>
      </c>
    </row>
    <row r="227" ht="15" customHeight="1" s="47">
      <c r="A227" s="182" t="inlineStr">
        <is>
          <t>T06</t>
        </is>
      </c>
      <c r="B227" s="182" t="inlineStr">
        <is>
          <t>EL-024</t>
        </is>
      </c>
      <c r="C227" s="59">
        <f>IFERROR(INDEX(Productos!$B$5:$B$124,MATCH($B227,Productos!$A$5:$A$124,0)),"")</f>
        <v/>
      </c>
      <c r="D227" s="59">
        <f>IFERROR(INDEX(Productos!$D$5:$D$124,MATCH($B227,Productos!$A$5:$A$124,0)),"")</f>
        <v/>
      </c>
      <c r="E227" s="186" t="n">
        <v>2</v>
      </c>
      <c r="F227" s="70">
        <f>IF($B227="",0,SUMIFS(Ventas!$F$5:$F$504,Ventas!$B$5:$B$504,$A227,Ventas!$C$5:$C$504,$B227))</f>
        <v/>
      </c>
      <c r="G227" s="71">
        <f>IF($B227="",0,SUMIFS(Ventas!$L$5:$L$504,Ventas!$B$5:$B$504,$A227,Ventas!$C$5:$C$504,$B227))</f>
        <v/>
      </c>
      <c r="H227" s="71">
        <f>IF($B227="",0,SUMIFS(Ventas!$P$5:$P$504,Ventas!$B$5:$B$504,$A227,Ventas!$C$5:$C$504,$B227))</f>
        <v/>
      </c>
      <c r="I227" s="72">
        <f>IF($F227=0,0,$F227/Inicio!$C$22)</f>
        <v/>
      </c>
      <c r="J227" s="73">
        <f>IF($I227=0,"",ROUND($E227/$I227,0))</f>
        <v/>
      </c>
      <c r="K227" s="71">
        <f>IF($B227="",0,$E227*IFERROR(INDEX(Productos!$G$5:$G$124,MATCH($B227,Productos!$A$5:$A$124,0)),0))</f>
        <v/>
      </c>
      <c r="L227" s="71">
        <f>IF($K227=0,0,$K227*Inicio!$C$25/365*Inicio!$C$22)</f>
        <v/>
      </c>
      <c r="M227" s="73">
        <f>IF($B227="","",IF(SUMIF($B$5:$B$304,$B227,$F$5:$F$304)=0,"",ROUND(SUMIF($B$5:$B$304,$B227,$E$5:$E$304)/(SUMIF($B$5:$B$304,$B227,$F$5:$F$304)/Inicio!$C$22),0)))</f>
        <v/>
      </c>
      <c r="N227" s="74">
        <f>IF($B227="","",IF(AND($E227&lt;=0,$F227&gt;0),"QUIEBRE",IF(AND($F227=0,$E227&gt;0),"SIN ROTACIÓN",IF($J227="","",IF($J227&lt;Inicio!$C$23,"RIESGO DE QUIEBRE",IF($J227&gt;Inicio!$C$24*1.5,"EXCESO","SANO"))))))</f>
        <v/>
      </c>
      <c r="O227" s="74">
        <f>IF($M227="","",IF($J227="","",IF($J227&gt;2*$M227,"ENVIAR a otra tienda",IF($J227&lt;0.5*$M227,"PEDIR traslado","—"))))</f>
        <v/>
      </c>
    </row>
    <row r="228" ht="15" customHeight="1" s="47">
      <c r="A228" s="182" t="inlineStr">
        <is>
          <t>T06</t>
        </is>
      </c>
      <c r="B228" s="182" t="inlineStr">
        <is>
          <t>EL-025</t>
        </is>
      </c>
      <c r="C228" s="59">
        <f>IFERROR(INDEX(Productos!$B$5:$B$124,MATCH($B228,Productos!$A$5:$A$124,0)),"")</f>
        <v/>
      </c>
      <c r="D228" s="59">
        <f>IFERROR(INDEX(Productos!$D$5:$D$124,MATCH($B228,Productos!$A$5:$A$124,0)),"")</f>
        <v/>
      </c>
      <c r="E228" s="186" t="n">
        <v>8</v>
      </c>
      <c r="F228" s="70">
        <f>IF($B228="",0,SUMIFS(Ventas!$F$5:$F$504,Ventas!$B$5:$B$504,$A228,Ventas!$C$5:$C$504,$B228))</f>
        <v/>
      </c>
      <c r="G228" s="71">
        <f>IF($B228="",0,SUMIFS(Ventas!$L$5:$L$504,Ventas!$B$5:$B$504,$A228,Ventas!$C$5:$C$504,$B228))</f>
        <v/>
      </c>
      <c r="H228" s="71">
        <f>IF($B228="",0,SUMIFS(Ventas!$P$5:$P$504,Ventas!$B$5:$B$504,$A228,Ventas!$C$5:$C$504,$B228))</f>
        <v/>
      </c>
      <c r="I228" s="72">
        <f>IF($F228=0,0,$F228/Inicio!$C$22)</f>
        <v/>
      </c>
      <c r="J228" s="73">
        <f>IF($I228=0,"",ROUND($E228/$I228,0))</f>
        <v/>
      </c>
      <c r="K228" s="71">
        <f>IF($B228="",0,$E228*IFERROR(INDEX(Productos!$G$5:$G$124,MATCH($B228,Productos!$A$5:$A$124,0)),0))</f>
        <v/>
      </c>
      <c r="L228" s="71">
        <f>IF($K228=0,0,$K228*Inicio!$C$25/365*Inicio!$C$22)</f>
        <v/>
      </c>
      <c r="M228" s="73">
        <f>IF($B228="","",IF(SUMIF($B$5:$B$304,$B228,$F$5:$F$304)=0,"",ROUND(SUMIF($B$5:$B$304,$B228,$E$5:$E$304)/(SUMIF($B$5:$B$304,$B228,$F$5:$F$304)/Inicio!$C$22),0)))</f>
        <v/>
      </c>
      <c r="N228" s="74">
        <f>IF($B228="","",IF(AND($E228&lt;=0,$F228&gt;0),"QUIEBRE",IF(AND($F228=0,$E228&gt;0),"SIN ROTACIÓN",IF($J228="","",IF($J228&lt;Inicio!$C$23,"RIESGO DE QUIEBRE",IF($J228&gt;Inicio!$C$24*1.5,"EXCESO","SANO"))))))</f>
        <v/>
      </c>
      <c r="O228" s="74">
        <f>IF($M228="","",IF($J228="","",IF($J228&gt;2*$M228,"ENVIAR a otra tienda",IF($J228&lt;0.5*$M228,"PEDIR traslado","—"))))</f>
        <v/>
      </c>
    </row>
    <row r="229" ht="15" customHeight="1" s="47">
      <c r="A229" s="182" t="inlineStr">
        <is>
          <t>T06</t>
        </is>
      </c>
      <c r="B229" s="182" t="inlineStr">
        <is>
          <t>EL-026</t>
        </is>
      </c>
      <c r="C229" s="59">
        <f>IFERROR(INDEX(Productos!$B$5:$B$124,MATCH($B229,Productos!$A$5:$A$124,0)),"")</f>
        <v/>
      </c>
      <c r="D229" s="59">
        <f>IFERROR(INDEX(Productos!$D$5:$D$124,MATCH($B229,Productos!$A$5:$A$124,0)),"")</f>
        <v/>
      </c>
      <c r="E229" s="186" t="n">
        <v>15</v>
      </c>
      <c r="F229" s="70">
        <f>IF($B229="",0,SUMIFS(Ventas!$F$5:$F$504,Ventas!$B$5:$B$504,$A229,Ventas!$C$5:$C$504,$B229))</f>
        <v/>
      </c>
      <c r="G229" s="71">
        <f>IF($B229="",0,SUMIFS(Ventas!$L$5:$L$504,Ventas!$B$5:$B$504,$A229,Ventas!$C$5:$C$504,$B229))</f>
        <v/>
      </c>
      <c r="H229" s="71">
        <f>IF($B229="",0,SUMIFS(Ventas!$P$5:$P$504,Ventas!$B$5:$B$504,$A229,Ventas!$C$5:$C$504,$B229))</f>
        <v/>
      </c>
      <c r="I229" s="72">
        <f>IF($F229=0,0,$F229/Inicio!$C$22)</f>
        <v/>
      </c>
      <c r="J229" s="73">
        <f>IF($I229=0,"",ROUND($E229/$I229,0))</f>
        <v/>
      </c>
      <c r="K229" s="71">
        <f>IF($B229="",0,$E229*IFERROR(INDEX(Productos!$G$5:$G$124,MATCH($B229,Productos!$A$5:$A$124,0)),0))</f>
        <v/>
      </c>
      <c r="L229" s="71">
        <f>IF($K229=0,0,$K229*Inicio!$C$25/365*Inicio!$C$22)</f>
        <v/>
      </c>
      <c r="M229" s="73">
        <f>IF($B229="","",IF(SUMIF($B$5:$B$304,$B229,$F$5:$F$304)=0,"",ROUND(SUMIF($B$5:$B$304,$B229,$E$5:$E$304)/(SUMIF($B$5:$B$304,$B229,$F$5:$F$304)/Inicio!$C$22),0)))</f>
        <v/>
      </c>
      <c r="N229" s="74">
        <f>IF($B229="","",IF(AND($E229&lt;=0,$F229&gt;0),"QUIEBRE",IF(AND($F229=0,$E229&gt;0),"SIN ROTACIÓN",IF($J229="","",IF($J229&lt;Inicio!$C$23,"RIESGO DE QUIEBRE",IF($J229&gt;Inicio!$C$24*1.5,"EXCESO","SANO"))))))</f>
        <v/>
      </c>
      <c r="O229" s="74">
        <f>IF($M229="","",IF($J229="","",IF($J229&gt;2*$M229,"ENVIAR a otra tienda",IF($J229&lt;0.5*$M229,"PEDIR traslado","—"))))</f>
        <v/>
      </c>
    </row>
    <row r="230" ht="15" customHeight="1" s="47">
      <c r="A230" s="182" t="inlineStr">
        <is>
          <t>T06</t>
        </is>
      </c>
      <c r="B230" s="182" t="inlineStr">
        <is>
          <t>EL-027</t>
        </is>
      </c>
      <c r="C230" s="59">
        <f>IFERROR(INDEX(Productos!$B$5:$B$124,MATCH($B230,Productos!$A$5:$A$124,0)),"")</f>
        <v/>
      </c>
      <c r="D230" s="59">
        <f>IFERROR(INDEX(Productos!$D$5:$D$124,MATCH($B230,Productos!$A$5:$A$124,0)),"")</f>
        <v/>
      </c>
      <c r="E230" s="186" t="n">
        <v>5</v>
      </c>
      <c r="F230" s="70">
        <f>IF($B230="",0,SUMIFS(Ventas!$F$5:$F$504,Ventas!$B$5:$B$504,$A230,Ventas!$C$5:$C$504,$B230))</f>
        <v/>
      </c>
      <c r="G230" s="71">
        <f>IF($B230="",0,SUMIFS(Ventas!$L$5:$L$504,Ventas!$B$5:$B$504,$A230,Ventas!$C$5:$C$504,$B230))</f>
        <v/>
      </c>
      <c r="H230" s="71">
        <f>IF($B230="",0,SUMIFS(Ventas!$P$5:$P$504,Ventas!$B$5:$B$504,$A230,Ventas!$C$5:$C$504,$B230))</f>
        <v/>
      </c>
      <c r="I230" s="72">
        <f>IF($F230=0,0,$F230/Inicio!$C$22)</f>
        <v/>
      </c>
      <c r="J230" s="73">
        <f>IF($I230=0,"",ROUND($E230/$I230,0))</f>
        <v/>
      </c>
      <c r="K230" s="71">
        <f>IF($B230="",0,$E230*IFERROR(INDEX(Productos!$G$5:$G$124,MATCH($B230,Productos!$A$5:$A$124,0)),0))</f>
        <v/>
      </c>
      <c r="L230" s="71">
        <f>IF($K230=0,0,$K230*Inicio!$C$25/365*Inicio!$C$22)</f>
        <v/>
      </c>
      <c r="M230" s="73">
        <f>IF($B230="","",IF(SUMIF($B$5:$B$304,$B230,$F$5:$F$304)=0,"",ROUND(SUMIF($B$5:$B$304,$B230,$E$5:$E$304)/(SUMIF($B$5:$B$304,$B230,$F$5:$F$304)/Inicio!$C$22),0)))</f>
        <v/>
      </c>
      <c r="N230" s="74">
        <f>IF($B230="","",IF(AND($E230&lt;=0,$F230&gt;0),"QUIEBRE",IF(AND($F230=0,$E230&gt;0),"SIN ROTACIÓN",IF($J230="","",IF($J230&lt;Inicio!$C$23,"RIESGO DE QUIEBRE",IF($J230&gt;Inicio!$C$24*1.5,"EXCESO","SANO"))))))</f>
        <v/>
      </c>
      <c r="O230" s="74">
        <f>IF($M230="","",IF($J230="","",IF($J230&gt;2*$M230,"ENVIAR a otra tienda",IF($J230&lt;0.5*$M230,"PEDIR traslado","—"))))</f>
        <v/>
      </c>
    </row>
    <row r="231" ht="15" customHeight="1" s="47">
      <c r="A231" s="182" t="inlineStr">
        <is>
          <t>T06</t>
        </is>
      </c>
      <c r="B231" s="182" t="inlineStr">
        <is>
          <t>EL-028</t>
        </is>
      </c>
      <c r="C231" s="59">
        <f>IFERROR(INDEX(Productos!$B$5:$B$124,MATCH($B231,Productos!$A$5:$A$124,0)),"")</f>
        <v/>
      </c>
      <c r="D231" s="59">
        <f>IFERROR(INDEX(Productos!$D$5:$D$124,MATCH($B231,Productos!$A$5:$A$124,0)),"")</f>
        <v/>
      </c>
      <c r="E231" s="186" t="n">
        <v>1</v>
      </c>
      <c r="F231" s="70">
        <f>IF($B231="",0,SUMIFS(Ventas!$F$5:$F$504,Ventas!$B$5:$B$504,$A231,Ventas!$C$5:$C$504,$B231))</f>
        <v/>
      </c>
      <c r="G231" s="71">
        <f>IF($B231="",0,SUMIFS(Ventas!$L$5:$L$504,Ventas!$B$5:$B$504,$A231,Ventas!$C$5:$C$504,$B231))</f>
        <v/>
      </c>
      <c r="H231" s="71">
        <f>IF($B231="",0,SUMIFS(Ventas!$P$5:$P$504,Ventas!$B$5:$B$504,$A231,Ventas!$C$5:$C$504,$B231))</f>
        <v/>
      </c>
      <c r="I231" s="72">
        <f>IF($F231=0,0,$F231/Inicio!$C$22)</f>
        <v/>
      </c>
      <c r="J231" s="73">
        <f>IF($I231=0,"",ROUND($E231/$I231,0))</f>
        <v/>
      </c>
      <c r="K231" s="71">
        <f>IF($B231="",0,$E231*IFERROR(INDEX(Productos!$G$5:$G$124,MATCH($B231,Productos!$A$5:$A$124,0)),0))</f>
        <v/>
      </c>
      <c r="L231" s="71">
        <f>IF($K231=0,0,$K231*Inicio!$C$25/365*Inicio!$C$22)</f>
        <v/>
      </c>
      <c r="M231" s="73">
        <f>IF($B231="","",IF(SUMIF($B$5:$B$304,$B231,$F$5:$F$304)=0,"",ROUND(SUMIF($B$5:$B$304,$B231,$E$5:$E$304)/(SUMIF($B$5:$B$304,$B231,$F$5:$F$304)/Inicio!$C$22),0)))</f>
        <v/>
      </c>
      <c r="N231" s="74">
        <f>IF($B231="","",IF(AND($E231&lt;=0,$F231&gt;0),"QUIEBRE",IF(AND($F231=0,$E231&gt;0),"SIN ROTACIÓN",IF($J231="","",IF($J231&lt;Inicio!$C$23,"RIESGO DE QUIEBRE",IF($J231&gt;Inicio!$C$24*1.5,"EXCESO","SANO"))))))</f>
        <v/>
      </c>
      <c r="O231" s="74">
        <f>IF($M231="","",IF($J231="","",IF($J231&gt;2*$M231,"ENVIAR a otra tienda",IF($J231&lt;0.5*$M231,"PEDIR traslado","—"))))</f>
        <v/>
      </c>
    </row>
    <row r="232" ht="15" customHeight="1" s="47">
      <c r="A232" s="182" t="inlineStr">
        <is>
          <t>T06</t>
        </is>
      </c>
      <c r="B232" s="182" t="inlineStr">
        <is>
          <t>EL-029</t>
        </is>
      </c>
      <c r="C232" s="59">
        <f>IFERROR(INDEX(Productos!$B$5:$B$124,MATCH($B232,Productos!$A$5:$A$124,0)),"")</f>
        <v/>
      </c>
      <c r="D232" s="59">
        <f>IFERROR(INDEX(Productos!$D$5:$D$124,MATCH($B232,Productos!$A$5:$A$124,0)),"")</f>
        <v/>
      </c>
      <c r="E232" s="186" t="n">
        <v>2</v>
      </c>
      <c r="F232" s="70">
        <f>IF($B232="",0,SUMIFS(Ventas!$F$5:$F$504,Ventas!$B$5:$B$504,$A232,Ventas!$C$5:$C$504,$B232))</f>
        <v/>
      </c>
      <c r="G232" s="71">
        <f>IF($B232="",0,SUMIFS(Ventas!$L$5:$L$504,Ventas!$B$5:$B$504,$A232,Ventas!$C$5:$C$504,$B232))</f>
        <v/>
      </c>
      <c r="H232" s="71">
        <f>IF($B232="",0,SUMIFS(Ventas!$P$5:$P$504,Ventas!$B$5:$B$504,$A232,Ventas!$C$5:$C$504,$B232))</f>
        <v/>
      </c>
      <c r="I232" s="72">
        <f>IF($F232=0,0,$F232/Inicio!$C$22)</f>
        <v/>
      </c>
      <c r="J232" s="73">
        <f>IF($I232=0,"",ROUND($E232/$I232,0))</f>
        <v/>
      </c>
      <c r="K232" s="71">
        <f>IF($B232="",0,$E232*IFERROR(INDEX(Productos!$G$5:$G$124,MATCH($B232,Productos!$A$5:$A$124,0)),0))</f>
        <v/>
      </c>
      <c r="L232" s="71">
        <f>IF($K232=0,0,$K232*Inicio!$C$25/365*Inicio!$C$22)</f>
        <v/>
      </c>
      <c r="M232" s="73">
        <f>IF($B232="","",IF(SUMIF($B$5:$B$304,$B232,$F$5:$F$304)=0,"",ROUND(SUMIF($B$5:$B$304,$B232,$E$5:$E$304)/(SUMIF($B$5:$B$304,$B232,$F$5:$F$304)/Inicio!$C$22),0)))</f>
        <v/>
      </c>
      <c r="N232" s="74">
        <f>IF($B232="","",IF(AND($E232&lt;=0,$F232&gt;0),"QUIEBRE",IF(AND($F232=0,$E232&gt;0),"SIN ROTACIÓN",IF($J232="","",IF($J232&lt;Inicio!$C$23,"RIESGO DE QUIEBRE",IF($J232&gt;Inicio!$C$24*1.5,"EXCESO","SANO"))))))</f>
        <v/>
      </c>
      <c r="O232" s="74">
        <f>IF($M232="","",IF($J232="","",IF($J232&gt;2*$M232,"ENVIAR a otra tienda",IF($J232&lt;0.5*$M232,"PEDIR traslado","—"))))</f>
        <v/>
      </c>
    </row>
    <row r="233" ht="15" customHeight="1" s="47">
      <c r="A233" s="182" t="inlineStr">
        <is>
          <t>T06</t>
        </is>
      </c>
      <c r="B233" s="182" t="inlineStr">
        <is>
          <t>EL-032</t>
        </is>
      </c>
      <c r="C233" s="59">
        <f>IFERROR(INDEX(Productos!$B$5:$B$124,MATCH($B233,Productos!$A$5:$A$124,0)),"")</f>
        <v/>
      </c>
      <c r="D233" s="59">
        <f>IFERROR(INDEX(Productos!$D$5:$D$124,MATCH($B233,Productos!$A$5:$A$124,0)),"")</f>
        <v/>
      </c>
      <c r="E233" s="186" t="n">
        <v>0</v>
      </c>
      <c r="F233" s="70">
        <f>IF($B233="",0,SUMIFS(Ventas!$F$5:$F$504,Ventas!$B$5:$B$504,$A233,Ventas!$C$5:$C$504,$B233))</f>
        <v/>
      </c>
      <c r="G233" s="71">
        <f>IF($B233="",0,SUMIFS(Ventas!$L$5:$L$504,Ventas!$B$5:$B$504,$A233,Ventas!$C$5:$C$504,$B233))</f>
        <v/>
      </c>
      <c r="H233" s="71">
        <f>IF($B233="",0,SUMIFS(Ventas!$P$5:$P$504,Ventas!$B$5:$B$504,$A233,Ventas!$C$5:$C$504,$B233))</f>
        <v/>
      </c>
      <c r="I233" s="72">
        <f>IF($F233=0,0,$F233/Inicio!$C$22)</f>
        <v/>
      </c>
      <c r="J233" s="73">
        <f>IF($I233=0,"",ROUND($E233/$I233,0))</f>
        <v/>
      </c>
      <c r="K233" s="71">
        <f>IF($B233="",0,$E233*IFERROR(INDEX(Productos!$G$5:$G$124,MATCH($B233,Productos!$A$5:$A$124,0)),0))</f>
        <v/>
      </c>
      <c r="L233" s="71">
        <f>IF($K233=0,0,$K233*Inicio!$C$25/365*Inicio!$C$22)</f>
        <v/>
      </c>
      <c r="M233" s="73">
        <f>IF($B233="","",IF(SUMIF($B$5:$B$304,$B233,$F$5:$F$304)=0,"",ROUND(SUMIF($B$5:$B$304,$B233,$E$5:$E$304)/(SUMIF($B$5:$B$304,$B233,$F$5:$F$304)/Inicio!$C$22),0)))</f>
        <v/>
      </c>
      <c r="N233" s="74">
        <f>IF($B233="","",IF(AND($E233&lt;=0,$F233&gt;0),"QUIEBRE",IF(AND($F233=0,$E233&gt;0),"SIN ROTACIÓN",IF($J233="","",IF($J233&lt;Inicio!$C$23,"RIESGO DE QUIEBRE",IF($J233&gt;Inicio!$C$24*1.5,"EXCESO","SANO"))))))</f>
        <v/>
      </c>
      <c r="O233" s="74">
        <f>IF($M233="","",IF($J233="","",IF($J233&gt;2*$M233,"ENVIAR a otra tienda",IF($J233&lt;0.5*$M233,"PEDIR traslado","—"))))</f>
        <v/>
      </c>
    </row>
    <row r="234" ht="15" customHeight="1" s="47">
      <c r="A234" s="182" t="inlineStr">
        <is>
          <t>T06</t>
        </is>
      </c>
      <c r="B234" s="182" t="inlineStr">
        <is>
          <t>EL-033</t>
        </is>
      </c>
      <c r="C234" s="59">
        <f>IFERROR(INDEX(Productos!$B$5:$B$124,MATCH($B234,Productos!$A$5:$A$124,0)),"")</f>
        <v/>
      </c>
      <c r="D234" s="59">
        <f>IFERROR(INDEX(Productos!$D$5:$D$124,MATCH($B234,Productos!$A$5:$A$124,0)),"")</f>
        <v/>
      </c>
      <c r="E234" s="186" t="n">
        <v>4</v>
      </c>
      <c r="F234" s="70">
        <f>IF($B234="",0,SUMIFS(Ventas!$F$5:$F$504,Ventas!$B$5:$B$504,$A234,Ventas!$C$5:$C$504,$B234))</f>
        <v/>
      </c>
      <c r="G234" s="71">
        <f>IF($B234="",0,SUMIFS(Ventas!$L$5:$L$504,Ventas!$B$5:$B$504,$A234,Ventas!$C$5:$C$504,$B234))</f>
        <v/>
      </c>
      <c r="H234" s="71">
        <f>IF($B234="",0,SUMIFS(Ventas!$P$5:$P$504,Ventas!$B$5:$B$504,$A234,Ventas!$C$5:$C$504,$B234))</f>
        <v/>
      </c>
      <c r="I234" s="72">
        <f>IF($F234=0,0,$F234/Inicio!$C$22)</f>
        <v/>
      </c>
      <c r="J234" s="73">
        <f>IF($I234=0,"",ROUND($E234/$I234,0))</f>
        <v/>
      </c>
      <c r="K234" s="71">
        <f>IF($B234="",0,$E234*IFERROR(INDEX(Productos!$G$5:$G$124,MATCH($B234,Productos!$A$5:$A$124,0)),0))</f>
        <v/>
      </c>
      <c r="L234" s="71">
        <f>IF($K234=0,0,$K234*Inicio!$C$25/365*Inicio!$C$22)</f>
        <v/>
      </c>
      <c r="M234" s="73">
        <f>IF($B234="","",IF(SUMIF($B$5:$B$304,$B234,$F$5:$F$304)=0,"",ROUND(SUMIF($B$5:$B$304,$B234,$E$5:$E$304)/(SUMIF($B$5:$B$304,$B234,$F$5:$F$304)/Inicio!$C$22),0)))</f>
        <v/>
      </c>
      <c r="N234" s="74">
        <f>IF($B234="","",IF(AND($E234&lt;=0,$F234&gt;0),"QUIEBRE",IF(AND($F234=0,$E234&gt;0),"SIN ROTACIÓN",IF($J234="","",IF($J234&lt;Inicio!$C$23,"RIESGO DE QUIEBRE",IF($J234&gt;Inicio!$C$24*1.5,"EXCESO","SANO"))))))</f>
        <v/>
      </c>
      <c r="O234" s="74">
        <f>IF($M234="","",IF($J234="","",IF($J234&gt;2*$M234,"ENVIAR a otra tienda",IF($J234&lt;0.5*$M234,"PEDIR traslado","—"))))</f>
        <v/>
      </c>
    </row>
    <row r="235" ht="15" customHeight="1" s="47">
      <c r="A235" s="182" t="inlineStr">
        <is>
          <t>T06</t>
        </is>
      </c>
      <c r="B235" s="182" t="inlineStr">
        <is>
          <t>EL-036</t>
        </is>
      </c>
      <c r="C235" s="59">
        <f>IFERROR(INDEX(Productos!$B$5:$B$124,MATCH($B235,Productos!$A$5:$A$124,0)),"")</f>
        <v/>
      </c>
      <c r="D235" s="59">
        <f>IFERROR(INDEX(Productos!$D$5:$D$124,MATCH($B235,Productos!$A$5:$A$124,0)),"")</f>
        <v/>
      </c>
      <c r="E235" s="186" t="n">
        <v>1</v>
      </c>
      <c r="F235" s="70">
        <f>IF($B235="",0,SUMIFS(Ventas!$F$5:$F$504,Ventas!$B$5:$B$504,$A235,Ventas!$C$5:$C$504,$B235))</f>
        <v/>
      </c>
      <c r="G235" s="71">
        <f>IF($B235="",0,SUMIFS(Ventas!$L$5:$L$504,Ventas!$B$5:$B$504,$A235,Ventas!$C$5:$C$504,$B235))</f>
        <v/>
      </c>
      <c r="H235" s="71">
        <f>IF($B235="",0,SUMIFS(Ventas!$P$5:$P$504,Ventas!$B$5:$B$504,$A235,Ventas!$C$5:$C$504,$B235))</f>
        <v/>
      </c>
      <c r="I235" s="72">
        <f>IF($F235=0,0,$F235/Inicio!$C$22)</f>
        <v/>
      </c>
      <c r="J235" s="73">
        <f>IF($I235=0,"",ROUND($E235/$I235,0))</f>
        <v/>
      </c>
      <c r="K235" s="71">
        <f>IF($B235="",0,$E235*IFERROR(INDEX(Productos!$G$5:$G$124,MATCH($B235,Productos!$A$5:$A$124,0)),0))</f>
        <v/>
      </c>
      <c r="L235" s="71">
        <f>IF($K235=0,0,$K235*Inicio!$C$25/365*Inicio!$C$22)</f>
        <v/>
      </c>
      <c r="M235" s="73">
        <f>IF($B235="","",IF(SUMIF($B$5:$B$304,$B235,$F$5:$F$304)=0,"",ROUND(SUMIF($B$5:$B$304,$B235,$E$5:$E$304)/(SUMIF($B$5:$B$304,$B235,$F$5:$F$304)/Inicio!$C$22),0)))</f>
        <v/>
      </c>
      <c r="N235" s="74">
        <f>IF($B235="","",IF(AND($E235&lt;=0,$F235&gt;0),"QUIEBRE",IF(AND($F235=0,$E235&gt;0),"SIN ROTACIÓN",IF($J235="","",IF($J235&lt;Inicio!$C$23,"RIESGO DE QUIEBRE",IF($J235&gt;Inicio!$C$24*1.5,"EXCESO","SANO"))))))</f>
        <v/>
      </c>
      <c r="O235" s="74">
        <f>IF($M235="","",IF($J235="","",IF($J235&gt;2*$M235,"ENVIAR a otra tienda",IF($J235&lt;0.5*$M235,"PEDIR traslado","—"))))</f>
        <v/>
      </c>
    </row>
    <row r="236" ht="15" customHeight="1" s="47">
      <c r="A236" s="182" t="inlineStr">
        <is>
          <t>T06</t>
        </is>
      </c>
      <c r="B236" s="182" t="inlineStr">
        <is>
          <t>EL-038</t>
        </is>
      </c>
      <c r="C236" s="59">
        <f>IFERROR(INDEX(Productos!$B$5:$B$124,MATCH($B236,Productos!$A$5:$A$124,0)),"")</f>
        <v/>
      </c>
      <c r="D236" s="59">
        <f>IFERROR(INDEX(Productos!$D$5:$D$124,MATCH($B236,Productos!$A$5:$A$124,0)),"")</f>
        <v/>
      </c>
      <c r="E236" s="186" t="n">
        <v>2</v>
      </c>
      <c r="F236" s="70">
        <f>IF($B236="",0,SUMIFS(Ventas!$F$5:$F$504,Ventas!$B$5:$B$504,$A236,Ventas!$C$5:$C$504,$B236))</f>
        <v/>
      </c>
      <c r="G236" s="71">
        <f>IF($B236="",0,SUMIFS(Ventas!$L$5:$L$504,Ventas!$B$5:$B$504,$A236,Ventas!$C$5:$C$504,$B236))</f>
        <v/>
      </c>
      <c r="H236" s="71">
        <f>IF($B236="",0,SUMIFS(Ventas!$P$5:$P$504,Ventas!$B$5:$B$504,$A236,Ventas!$C$5:$C$504,$B236))</f>
        <v/>
      </c>
      <c r="I236" s="72">
        <f>IF($F236=0,0,$F236/Inicio!$C$22)</f>
        <v/>
      </c>
      <c r="J236" s="73">
        <f>IF($I236=0,"",ROUND($E236/$I236,0))</f>
        <v/>
      </c>
      <c r="K236" s="71">
        <f>IF($B236="",0,$E236*IFERROR(INDEX(Productos!$G$5:$G$124,MATCH($B236,Productos!$A$5:$A$124,0)),0))</f>
        <v/>
      </c>
      <c r="L236" s="71">
        <f>IF($K236=0,0,$K236*Inicio!$C$25/365*Inicio!$C$22)</f>
        <v/>
      </c>
      <c r="M236" s="73">
        <f>IF($B236="","",IF(SUMIF($B$5:$B$304,$B236,$F$5:$F$304)=0,"",ROUND(SUMIF($B$5:$B$304,$B236,$E$5:$E$304)/(SUMIF($B$5:$B$304,$B236,$F$5:$F$304)/Inicio!$C$22),0)))</f>
        <v/>
      </c>
      <c r="N236" s="74">
        <f>IF($B236="","",IF(AND($E236&lt;=0,$F236&gt;0),"QUIEBRE",IF(AND($F236=0,$E236&gt;0),"SIN ROTACIÓN",IF($J236="","",IF($J236&lt;Inicio!$C$23,"RIESGO DE QUIEBRE",IF($J236&gt;Inicio!$C$24*1.5,"EXCESO","SANO"))))))</f>
        <v/>
      </c>
      <c r="O236" s="74">
        <f>IF($M236="","",IF($J236="","",IF($J236&gt;2*$M236,"ENVIAR a otra tienda",IF($J236&lt;0.5*$M236,"PEDIR traslado","—"))))</f>
        <v/>
      </c>
    </row>
    <row r="237" ht="15" customHeight="1" s="47">
      <c r="A237" s="182" t="inlineStr">
        <is>
          <t>T06</t>
        </is>
      </c>
      <c r="B237" s="182" t="inlineStr">
        <is>
          <t>EL-039</t>
        </is>
      </c>
      <c r="C237" s="59">
        <f>IFERROR(INDEX(Productos!$B$5:$B$124,MATCH($B237,Productos!$A$5:$A$124,0)),"")</f>
        <v/>
      </c>
      <c r="D237" s="59">
        <f>IFERROR(INDEX(Productos!$D$5:$D$124,MATCH($B237,Productos!$A$5:$A$124,0)),"")</f>
        <v/>
      </c>
      <c r="E237" s="186" t="n">
        <v>7</v>
      </c>
      <c r="F237" s="70">
        <f>IF($B237="",0,SUMIFS(Ventas!$F$5:$F$504,Ventas!$B$5:$B$504,$A237,Ventas!$C$5:$C$504,$B237))</f>
        <v/>
      </c>
      <c r="G237" s="71">
        <f>IF($B237="",0,SUMIFS(Ventas!$L$5:$L$504,Ventas!$B$5:$B$504,$A237,Ventas!$C$5:$C$504,$B237))</f>
        <v/>
      </c>
      <c r="H237" s="71">
        <f>IF($B237="",0,SUMIFS(Ventas!$P$5:$P$504,Ventas!$B$5:$B$504,$A237,Ventas!$C$5:$C$504,$B237))</f>
        <v/>
      </c>
      <c r="I237" s="72">
        <f>IF($F237=0,0,$F237/Inicio!$C$22)</f>
        <v/>
      </c>
      <c r="J237" s="73">
        <f>IF($I237=0,"",ROUND($E237/$I237,0))</f>
        <v/>
      </c>
      <c r="K237" s="71">
        <f>IF($B237="",0,$E237*IFERROR(INDEX(Productos!$G$5:$G$124,MATCH($B237,Productos!$A$5:$A$124,0)),0))</f>
        <v/>
      </c>
      <c r="L237" s="71">
        <f>IF($K237=0,0,$K237*Inicio!$C$25/365*Inicio!$C$22)</f>
        <v/>
      </c>
      <c r="M237" s="73">
        <f>IF($B237="","",IF(SUMIF($B$5:$B$304,$B237,$F$5:$F$304)=0,"",ROUND(SUMIF($B$5:$B$304,$B237,$E$5:$E$304)/(SUMIF($B$5:$B$304,$B237,$F$5:$F$304)/Inicio!$C$22),0)))</f>
        <v/>
      </c>
      <c r="N237" s="74">
        <f>IF($B237="","",IF(AND($E237&lt;=0,$F237&gt;0),"QUIEBRE",IF(AND($F237=0,$E237&gt;0),"SIN ROTACIÓN",IF($J237="","",IF($J237&lt;Inicio!$C$23,"RIESGO DE QUIEBRE",IF($J237&gt;Inicio!$C$24*1.5,"EXCESO","SANO"))))))</f>
        <v/>
      </c>
      <c r="O237" s="74">
        <f>IF($M237="","",IF($J237="","",IF($J237&gt;2*$M237,"ENVIAR a otra tienda",IF($J237&lt;0.5*$M237,"PEDIR traslado","—"))))</f>
        <v/>
      </c>
    </row>
    <row r="238" ht="15" customHeight="1" s="47">
      <c r="A238" s="182" t="inlineStr">
        <is>
          <t>T06</t>
        </is>
      </c>
      <c r="B238" s="182" t="inlineStr">
        <is>
          <t>EL-044</t>
        </is>
      </c>
      <c r="C238" s="59">
        <f>IFERROR(INDEX(Productos!$B$5:$B$124,MATCH($B238,Productos!$A$5:$A$124,0)),"")</f>
        <v/>
      </c>
      <c r="D238" s="59">
        <f>IFERROR(INDEX(Productos!$D$5:$D$124,MATCH($B238,Productos!$A$5:$A$124,0)),"")</f>
        <v/>
      </c>
      <c r="E238" s="186" t="n">
        <v>2</v>
      </c>
      <c r="F238" s="70">
        <f>IF($B238="",0,SUMIFS(Ventas!$F$5:$F$504,Ventas!$B$5:$B$504,$A238,Ventas!$C$5:$C$504,$B238))</f>
        <v/>
      </c>
      <c r="G238" s="71">
        <f>IF($B238="",0,SUMIFS(Ventas!$L$5:$L$504,Ventas!$B$5:$B$504,$A238,Ventas!$C$5:$C$504,$B238))</f>
        <v/>
      </c>
      <c r="H238" s="71">
        <f>IF($B238="",0,SUMIFS(Ventas!$P$5:$P$504,Ventas!$B$5:$B$504,$A238,Ventas!$C$5:$C$504,$B238))</f>
        <v/>
      </c>
      <c r="I238" s="72">
        <f>IF($F238=0,0,$F238/Inicio!$C$22)</f>
        <v/>
      </c>
      <c r="J238" s="73">
        <f>IF($I238=0,"",ROUND($E238/$I238,0))</f>
        <v/>
      </c>
      <c r="K238" s="71">
        <f>IF($B238="",0,$E238*IFERROR(INDEX(Productos!$G$5:$G$124,MATCH($B238,Productos!$A$5:$A$124,0)),0))</f>
        <v/>
      </c>
      <c r="L238" s="71">
        <f>IF($K238=0,0,$K238*Inicio!$C$25/365*Inicio!$C$22)</f>
        <v/>
      </c>
      <c r="M238" s="73">
        <f>IF($B238="","",IF(SUMIF($B$5:$B$304,$B238,$F$5:$F$304)=0,"",ROUND(SUMIF($B$5:$B$304,$B238,$E$5:$E$304)/(SUMIF($B$5:$B$304,$B238,$F$5:$F$304)/Inicio!$C$22),0)))</f>
        <v/>
      </c>
      <c r="N238" s="74">
        <f>IF($B238="","",IF(AND($E238&lt;=0,$F238&gt;0),"QUIEBRE",IF(AND($F238=0,$E238&gt;0),"SIN ROTACIÓN",IF($J238="","",IF($J238&lt;Inicio!$C$23,"RIESGO DE QUIEBRE",IF($J238&gt;Inicio!$C$24*1.5,"EXCESO","SANO"))))))</f>
        <v/>
      </c>
      <c r="O238" s="74">
        <f>IF($M238="","",IF($J238="","",IF($J238&gt;2*$M238,"ENVIAR a otra tienda",IF($J238&lt;0.5*$M238,"PEDIR traslado","—"))))</f>
        <v/>
      </c>
    </row>
    <row r="239" ht="15" customHeight="1" s="47">
      <c r="A239" s="182" t="inlineStr">
        <is>
          <t>T06</t>
        </is>
      </c>
      <c r="B239" s="182" t="inlineStr">
        <is>
          <t>EL-046</t>
        </is>
      </c>
      <c r="C239" s="59">
        <f>IFERROR(INDEX(Productos!$B$5:$B$124,MATCH($B239,Productos!$A$5:$A$124,0)),"")</f>
        <v/>
      </c>
      <c r="D239" s="59">
        <f>IFERROR(INDEX(Productos!$D$5:$D$124,MATCH($B239,Productos!$A$5:$A$124,0)),"")</f>
        <v/>
      </c>
      <c r="E239" s="186" t="n">
        <v>17</v>
      </c>
      <c r="F239" s="70">
        <f>IF($B239="",0,SUMIFS(Ventas!$F$5:$F$504,Ventas!$B$5:$B$504,$A239,Ventas!$C$5:$C$504,$B239))</f>
        <v/>
      </c>
      <c r="G239" s="71">
        <f>IF($B239="",0,SUMIFS(Ventas!$L$5:$L$504,Ventas!$B$5:$B$504,$A239,Ventas!$C$5:$C$504,$B239))</f>
        <v/>
      </c>
      <c r="H239" s="71">
        <f>IF($B239="",0,SUMIFS(Ventas!$P$5:$P$504,Ventas!$B$5:$B$504,$A239,Ventas!$C$5:$C$504,$B239))</f>
        <v/>
      </c>
      <c r="I239" s="72">
        <f>IF($F239=0,0,$F239/Inicio!$C$22)</f>
        <v/>
      </c>
      <c r="J239" s="73">
        <f>IF($I239=0,"",ROUND($E239/$I239,0))</f>
        <v/>
      </c>
      <c r="K239" s="71">
        <f>IF($B239="",0,$E239*IFERROR(INDEX(Productos!$G$5:$G$124,MATCH($B239,Productos!$A$5:$A$124,0)),0))</f>
        <v/>
      </c>
      <c r="L239" s="71">
        <f>IF($K239=0,0,$K239*Inicio!$C$25/365*Inicio!$C$22)</f>
        <v/>
      </c>
      <c r="M239" s="73">
        <f>IF($B239="","",IF(SUMIF($B$5:$B$304,$B239,$F$5:$F$304)=0,"",ROUND(SUMIF($B$5:$B$304,$B239,$E$5:$E$304)/(SUMIF($B$5:$B$304,$B239,$F$5:$F$304)/Inicio!$C$22),0)))</f>
        <v/>
      </c>
      <c r="N239" s="74">
        <f>IF($B239="","",IF(AND($E239&lt;=0,$F239&gt;0),"QUIEBRE",IF(AND($F239=0,$E239&gt;0),"SIN ROTACIÓN",IF($J239="","",IF($J239&lt;Inicio!$C$23,"RIESGO DE QUIEBRE",IF($J239&gt;Inicio!$C$24*1.5,"EXCESO","SANO"))))))</f>
        <v/>
      </c>
      <c r="O239" s="74">
        <f>IF($M239="","",IF($J239="","",IF($J239&gt;2*$M239,"ENVIAR a otra tienda",IF($J239&lt;0.5*$M239,"PEDIR traslado","—"))))</f>
        <v/>
      </c>
    </row>
    <row r="240" ht="15" customHeight="1" s="47">
      <c r="A240" s="182" t="inlineStr">
        <is>
          <t>T06</t>
        </is>
      </c>
      <c r="B240" s="182" t="inlineStr">
        <is>
          <t>EL-049</t>
        </is>
      </c>
      <c r="C240" s="59">
        <f>IFERROR(INDEX(Productos!$B$5:$B$124,MATCH($B240,Productos!$A$5:$A$124,0)),"")</f>
        <v/>
      </c>
      <c r="D240" s="59">
        <f>IFERROR(INDEX(Productos!$D$5:$D$124,MATCH($B240,Productos!$A$5:$A$124,0)),"")</f>
        <v/>
      </c>
      <c r="E240" s="186" t="n">
        <v>2</v>
      </c>
      <c r="F240" s="70">
        <f>IF($B240="",0,SUMIFS(Ventas!$F$5:$F$504,Ventas!$B$5:$B$504,$A240,Ventas!$C$5:$C$504,$B240))</f>
        <v/>
      </c>
      <c r="G240" s="71">
        <f>IF($B240="",0,SUMIFS(Ventas!$L$5:$L$504,Ventas!$B$5:$B$504,$A240,Ventas!$C$5:$C$504,$B240))</f>
        <v/>
      </c>
      <c r="H240" s="71">
        <f>IF($B240="",0,SUMIFS(Ventas!$P$5:$P$504,Ventas!$B$5:$B$504,$A240,Ventas!$C$5:$C$504,$B240))</f>
        <v/>
      </c>
      <c r="I240" s="72">
        <f>IF($F240=0,0,$F240/Inicio!$C$22)</f>
        <v/>
      </c>
      <c r="J240" s="73">
        <f>IF($I240=0,"",ROUND($E240/$I240,0))</f>
        <v/>
      </c>
      <c r="K240" s="71">
        <f>IF($B240="",0,$E240*IFERROR(INDEX(Productos!$G$5:$G$124,MATCH($B240,Productos!$A$5:$A$124,0)),0))</f>
        <v/>
      </c>
      <c r="L240" s="71">
        <f>IF($K240=0,0,$K240*Inicio!$C$25/365*Inicio!$C$22)</f>
        <v/>
      </c>
      <c r="M240" s="73">
        <f>IF($B240="","",IF(SUMIF($B$5:$B$304,$B240,$F$5:$F$304)=0,"",ROUND(SUMIF($B$5:$B$304,$B240,$E$5:$E$304)/(SUMIF($B$5:$B$304,$B240,$F$5:$F$304)/Inicio!$C$22),0)))</f>
        <v/>
      </c>
      <c r="N240" s="74">
        <f>IF($B240="","",IF(AND($E240&lt;=0,$F240&gt;0),"QUIEBRE",IF(AND($F240=0,$E240&gt;0),"SIN ROTACIÓN",IF($J240="","",IF($J240&lt;Inicio!$C$23,"RIESGO DE QUIEBRE",IF($J240&gt;Inicio!$C$24*1.5,"EXCESO","SANO"))))))</f>
        <v/>
      </c>
      <c r="O240" s="74">
        <f>IF($M240="","",IF($J240="","",IF($J240&gt;2*$M240,"ENVIAR a otra tienda",IF($J240&lt;0.5*$M240,"PEDIR traslado","—"))))</f>
        <v/>
      </c>
    </row>
    <row r="241" ht="15" customHeight="1" s="47">
      <c r="A241" s="64" t="n"/>
      <c r="B241" s="64" t="n"/>
      <c r="C241" s="59">
        <f>IFERROR(INDEX(Productos!$B$5:$B$124,MATCH($B241,Productos!$A$5:$A$124,0)),"")</f>
        <v/>
      </c>
      <c r="D241" s="59">
        <f>IFERROR(INDEX(Productos!$D$5:$D$124,MATCH($B241,Productos!$A$5:$A$124,0)),"")</f>
        <v/>
      </c>
      <c r="E241" s="64" t="n"/>
      <c r="F241" s="70">
        <f>IF($B241="",0,SUMIFS(Ventas!$F$5:$F$504,Ventas!$B$5:$B$504,$A241,Ventas!$C$5:$C$504,$B241))</f>
        <v/>
      </c>
      <c r="G241" s="71">
        <f>IF($B241="",0,SUMIFS(Ventas!$L$5:$L$504,Ventas!$B$5:$B$504,$A241,Ventas!$C$5:$C$504,$B241))</f>
        <v/>
      </c>
      <c r="H241" s="71">
        <f>IF($B241="",0,SUMIFS(Ventas!$P$5:$P$504,Ventas!$B$5:$B$504,$A241,Ventas!$C$5:$C$504,$B241))</f>
        <v/>
      </c>
      <c r="I241" s="72">
        <f>IF($F241=0,0,$F241/Inicio!$C$22)</f>
        <v/>
      </c>
      <c r="J241" s="73">
        <f>IF($I241=0,"",ROUND($E241/$I241,0))</f>
        <v/>
      </c>
      <c r="K241" s="71">
        <f>IF($B241="",0,$E241*IFERROR(INDEX(Productos!$G$5:$G$124,MATCH($B241,Productos!$A$5:$A$124,0)),0))</f>
        <v/>
      </c>
      <c r="L241" s="71">
        <f>IF($K241=0,0,$K241*Inicio!$C$25/365*Inicio!$C$22)</f>
        <v/>
      </c>
      <c r="M241" s="73">
        <f>IF($B241="","",IF(SUMIF($B$5:$B$304,$B241,$F$5:$F$304)=0,"",ROUND(SUMIF($B$5:$B$304,$B241,$E$5:$E$304)/(SUMIF($B$5:$B$304,$B241,$F$5:$F$304)/Inicio!$C$22),0)))</f>
        <v/>
      </c>
      <c r="N241" s="74">
        <f>IF($B241="","",IF(AND($E241&lt;=0,$F241&gt;0),"QUIEBRE",IF(AND($F241=0,$E241&gt;0),"SIN ROTACIÓN",IF($J241="","",IF($J241&lt;Inicio!$C$23,"RIESGO DE QUIEBRE",IF($J241&gt;Inicio!$C$24*1.5,"EXCESO","SANO"))))))</f>
        <v/>
      </c>
      <c r="O241" s="74">
        <f>IF($M241="","",IF($J241="","",IF($J241&gt;2*$M241,"ENVIAR a otra tienda",IF($J241&lt;0.5*$M241,"PEDIR traslado","—"))))</f>
        <v/>
      </c>
    </row>
    <row r="242" ht="15" customHeight="1" s="47">
      <c r="A242" s="64" t="n"/>
      <c r="B242" s="64" t="n"/>
      <c r="C242" s="59">
        <f>IFERROR(INDEX(Productos!$B$5:$B$124,MATCH($B242,Productos!$A$5:$A$124,0)),"")</f>
        <v/>
      </c>
      <c r="D242" s="59">
        <f>IFERROR(INDEX(Productos!$D$5:$D$124,MATCH($B242,Productos!$A$5:$A$124,0)),"")</f>
        <v/>
      </c>
      <c r="E242" s="64" t="n"/>
      <c r="F242" s="70">
        <f>IF($B242="",0,SUMIFS(Ventas!$F$5:$F$504,Ventas!$B$5:$B$504,$A242,Ventas!$C$5:$C$504,$B242))</f>
        <v/>
      </c>
      <c r="G242" s="71">
        <f>IF($B242="",0,SUMIFS(Ventas!$L$5:$L$504,Ventas!$B$5:$B$504,$A242,Ventas!$C$5:$C$504,$B242))</f>
        <v/>
      </c>
      <c r="H242" s="71">
        <f>IF($B242="",0,SUMIFS(Ventas!$P$5:$P$504,Ventas!$B$5:$B$504,$A242,Ventas!$C$5:$C$504,$B242))</f>
        <v/>
      </c>
      <c r="I242" s="72">
        <f>IF($F242=0,0,$F242/Inicio!$C$22)</f>
        <v/>
      </c>
      <c r="J242" s="73">
        <f>IF($I242=0,"",ROUND($E242/$I242,0))</f>
        <v/>
      </c>
      <c r="K242" s="71">
        <f>IF($B242="",0,$E242*IFERROR(INDEX(Productos!$G$5:$G$124,MATCH($B242,Productos!$A$5:$A$124,0)),0))</f>
        <v/>
      </c>
      <c r="L242" s="71">
        <f>IF($K242=0,0,$K242*Inicio!$C$25/365*Inicio!$C$22)</f>
        <v/>
      </c>
      <c r="M242" s="73">
        <f>IF($B242="","",IF(SUMIF($B$5:$B$304,$B242,$F$5:$F$304)=0,"",ROUND(SUMIF($B$5:$B$304,$B242,$E$5:$E$304)/(SUMIF($B$5:$B$304,$B242,$F$5:$F$304)/Inicio!$C$22),0)))</f>
        <v/>
      </c>
      <c r="N242" s="74">
        <f>IF($B242="","",IF(AND($E242&lt;=0,$F242&gt;0),"QUIEBRE",IF(AND($F242=0,$E242&gt;0),"SIN ROTACIÓN",IF($J242="","",IF($J242&lt;Inicio!$C$23,"RIESGO DE QUIEBRE",IF($J242&gt;Inicio!$C$24*1.5,"EXCESO","SANO"))))))</f>
        <v/>
      </c>
      <c r="O242" s="74">
        <f>IF($M242="","",IF($J242="","",IF($J242&gt;2*$M242,"ENVIAR a otra tienda",IF($J242&lt;0.5*$M242,"PEDIR traslado","—"))))</f>
        <v/>
      </c>
    </row>
    <row r="243" ht="15" customHeight="1" s="47">
      <c r="A243" s="64" t="n"/>
      <c r="B243" s="64" t="n"/>
      <c r="C243" s="59">
        <f>IFERROR(INDEX(Productos!$B$5:$B$124,MATCH($B243,Productos!$A$5:$A$124,0)),"")</f>
        <v/>
      </c>
      <c r="D243" s="59">
        <f>IFERROR(INDEX(Productos!$D$5:$D$124,MATCH($B243,Productos!$A$5:$A$124,0)),"")</f>
        <v/>
      </c>
      <c r="E243" s="64" t="n"/>
      <c r="F243" s="70">
        <f>IF($B243="",0,SUMIFS(Ventas!$F$5:$F$504,Ventas!$B$5:$B$504,$A243,Ventas!$C$5:$C$504,$B243))</f>
        <v/>
      </c>
      <c r="G243" s="71">
        <f>IF($B243="",0,SUMIFS(Ventas!$L$5:$L$504,Ventas!$B$5:$B$504,$A243,Ventas!$C$5:$C$504,$B243))</f>
        <v/>
      </c>
      <c r="H243" s="71">
        <f>IF($B243="",0,SUMIFS(Ventas!$P$5:$P$504,Ventas!$B$5:$B$504,$A243,Ventas!$C$5:$C$504,$B243))</f>
        <v/>
      </c>
      <c r="I243" s="72">
        <f>IF($F243=0,0,$F243/Inicio!$C$22)</f>
        <v/>
      </c>
      <c r="J243" s="73">
        <f>IF($I243=0,"",ROUND($E243/$I243,0))</f>
        <v/>
      </c>
      <c r="K243" s="71">
        <f>IF($B243="",0,$E243*IFERROR(INDEX(Productos!$G$5:$G$124,MATCH($B243,Productos!$A$5:$A$124,0)),0))</f>
        <v/>
      </c>
      <c r="L243" s="71">
        <f>IF($K243=0,0,$K243*Inicio!$C$25/365*Inicio!$C$22)</f>
        <v/>
      </c>
      <c r="M243" s="73">
        <f>IF($B243="","",IF(SUMIF($B$5:$B$304,$B243,$F$5:$F$304)=0,"",ROUND(SUMIF($B$5:$B$304,$B243,$E$5:$E$304)/(SUMIF($B$5:$B$304,$B243,$F$5:$F$304)/Inicio!$C$22),0)))</f>
        <v/>
      </c>
      <c r="N243" s="74">
        <f>IF($B243="","",IF(AND($E243&lt;=0,$F243&gt;0),"QUIEBRE",IF(AND($F243=0,$E243&gt;0),"SIN ROTACIÓN",IF($J243="","",IF($J243&lt;Inicio!$C$23,"RIESGO DE QUIEBRE",IF($J243&gt;Inicio!$C$24*1.5,"EXCESO","SANO"))))))</f>
        <v/>
      </c>
      <c r="O243" s="74">
        <f>IF($M243="","",IF($J243="","",IF($J243&gt;2*$M243,"ENVIAR a otra tienda",IF($J243&lt;0.5*$M243,"PEDIR traslado","—"))))</f>
        <v/>
      </c>
    </row>
    <row r="244" ht="15" customHeight="1" s="47">
      <c r="A244" s="64" t="n"/>
      <c r="B244" s="64" t="n"/>
      <c r="C244" s="59">
        <f>IFERROR(INDEX(Productos!$B$5:$B$124,MATCH($B244,Productos!$A$5:$A$124,0)),"")</f>
        <v/>
      </c>
      <c r="D244" s="59">
        <f>IFERROR(INDEX(Productos!$D$5:$D$124,MATCH($B244,Productos!$A$5:$A$124,0)),"")</f>
        <v/>
      </c>
      <c r="E244" s="64" t="n"/>
      <c r="F244" s="70">
        <f>IF($B244="",0,SUMIFS(Ventas!$F$5:$F$504,Ventas!$B$5:$B$504,$A244,Ventas!$C$5:$C$504,$B244))</f>
        <v/>
      </c>
      <c r="G244" s="71">
        <f>IF($B244="",0,SUMIFS(Ventas!$L$5:$L$504,Ventas!$B$5:$B$504,$A244,Ventas!$C$5:$C$504,$B244))</f>
        <v/>
      </c>
      <c r="H244" s="71">
        <f>IF($B244="",0,SUMIFS(Ventas!$P$5:$P$504,Ventas!$B$5:$B$504,$A244,Ventas!$C$5:$C$504,$B244))</f>
        <v/>
      </c>
      <c r="I244" s="72">
        <f>IF($F244=0,0,$F244/Inicio!$C$22)</f>
        <v/>
      </c>
      <c r="J244" s="73">
        <f>IF($I244=0,"",ROUND($E244/$I244,0))</f>
        <v/>
      </c>
      <c r="K244" s="71">
        <f>IF($B244="",0,$E244*IFERROR(INDEX(Productos!$G$5:$G$124,MATCH($B244,Productos!$A$5:$A$124,0)),0))</f>
        <v/>
      </c>
      <c r="L244" s="71">
        <f>IF($K244=0,0,$K244*Inicio!$C$25/365*Inicio!$C$22)</f>
        <v/>
      </c>
      <c r="M244" s="73">
        <f>IF($B244="","",IF(SUMIF($B$5:$B$304,$B244,$F$5:$F$304)=0,"",ROUND(SUMIF($B$5:$B$304,$B244,$E$5:$E$304)/(SUMIF($B$5:$B$304,$B244,$F$5:$F$304)/Inicio!$C$22),0)))</f>
        <v/>
      </c>
      <c r="N244" s="74">
        <f>IF($B244="","",IF(AND($E244&lt;=0,$F244&gt;0),"QUIEBRE",IF(AND($F244=0,$E244&gt;0),"SIN ROTACIÓN",IF($J244="","",IF($J244&lt;Inicio!$C$23,"RIESGO DE QUIEBRE",IF($J244&gt;Inicio!$C$24*1.5,"EXCESO","SANO"))))))</f>
        <v/>
      </c>
      <c r="O244" s="74">
        <f>IF($M244="","",IF($J244="","",IF($J244&gt;2*$M244,"ENVIAR a otra tienda",IF($J244&lt;0.5*$M244,"PEDIR traslado","—"))))</f>
        <v/>
      </c>
    </row>
    <row r="245" ht="15" customHeight="1" s="47">
      <c r="A245" s="64" t="n"/>
      <c r="B245" s="64" t="n"/>
      <c r="C245" s="59">
        <f>IFERROR(INDEX(Productos!$B$5:$B$124,MATCH($B245,Productos!$A$5:$A$124,0)),"")</f>
        <v/>
      </c>
      <c r="D245" s="59">
        <f>IFERROR(INDEX(Productos!$D$5:$D$124,MATCH($B245,Productos!$A$5:$A$124,0)),"")</f>
        <v/>
      </c>
      <c r="E245" s="64" t="n"/>
      <c r="F245" s="70">
        <f>IF($B245="",0,SUMIFS(Ventas!$F$5:$F$504,Ventas!$B$5:$B$504,$A245,Ventas!$C$5:$C$504,$B245))</f>
        <v/>
      </c>
      <c r="G245" s="71">
        <f>IF($B245="",0,SUMIFS(Ventas!$L$5:$L$504,Ventas!$B$5:$B$504,$A245,Ventas!$C$5:$C$504,$B245))</f>
        <v/>
      </c>
      <c r="H245" s="71">
        <f>IF($B245="",0,SUMIFS(Ventas!$P$5:$P$504,Ventas!$B$5:$B$504,$A245,Ventas!$C$5:$C$504,$B245))</f>
        <v/>
      </c>
      <c r="I245" s="72">
        <f>IF($F245=0,0,$F245/Inicio!$C$22)</f>
        <v/>
      </c>
      <c r="J245" s="73">
        <f>IF($I245=0,"",ROUND($E245/$I245,0))</f>
        <v/>
      </c>
      <c r="K245" s="71">
        <f>IF($B245="",0,$E245*IFERROR(INDEX(Productos!$G$5:$G$124,MATCH($B245,Productos!$A$5:$A$124,0)),0))</f>
        <v/>
      </c>
      <c r="L245" s="71">
        <f>IF($K245=0,0,$K245*Inicio!$C$25/365*Inicio!$C$22)</f>
        <v/>
      </c>
      <c r="M245" s="73">
        <f>IF($B245="","",IF(SUMIF($B$5:$B$304,$B245,$F$5:$F$304)=0,"",ROUND(SUMIF($B$5:$B$304,$B245,$E$5:$E$304)/(SUMIF($B$5:$B$304,$B245,$F$5:$F$304)/Inicio!$C$22),0)))</f>
        <v/>
      </c>
      <c r="N245" s="74">
        <f>IF($B245="","",IF(AND($E245&lt;=0,$F245&gt;0),"QUIEBRE",IF(AND($F245=0,$E245&gt;0),"SIN ROTACIÓN",IF($J245="","",IF($J245&lt;Inicio!$C$23,"RIESGO DE QUIEBRE",IF($J245&gt;Inicio!$C$24*1.5,"EXCESO","SANO"))))))</f>
        <v/>
      </c>
      <c r="O245" s="74">
        <f>IF($M245="","",IF($J245="","",IF($J245&gt;2*$M245,"ENVIAR a otra tienda",IF($J245&lt;0.5*$M245,"PEDIR traslado","—"))))</f>
        <v/>
      </c>
    </row>
    <row r="246" ht="15" customHeight="1" s="47">
      <c r="A246" s="64" t="n"/>
      <c r="B246" s="64" t="n"/>
      <c r="C246" s="59">
        <f>IFERROR(INDEX(Productos!$B$5:$B$124,MATCH($B246,Productos!$A$5:$A$124,0)),"")</f>
        <v/>
      </c>
      <c r="D246" s="59">
        <f>IFERROR(INDEX(Productos!$D$5:$D$124,MATCH($B246,Productos!$A$5:$A$124,0)),"")</f>
        <v/>
      </c>
      <c r="E246" s="64" t="n"/>
      <c r="F246" s="70">
        <f>IF($B246="",0,SUMIFS(Ventas!$F$5:$F$504,Ventas!$B$5:$B$504,$A246,Ventas!$C$5:$C$504,$B246))</f>
        <v/>
      </c>
      <c r="G246" s="71">
        <f>IF($B246="",0,SUMIFS(Ventas!$L$5:$L$504,Ventas!$B$5:$B$504,$A246,Ventas!$C$5:$C$504,$B246))</f>
        <v/>
      </c>
      <c r="H246" s="71">
        <f>IF($B246="",0,SUMIFS(Ventas!$P$5:$P$504,Ventas!$B$5:$B$504,$A246,Ventas!$C$5:$C$504,$B246))</f>
        <v/>
      </c>
      <c r="I246" s="72">
        <f>IF($F246=0,0,$F246/Inicio!$C$22)</f>
        <v/>
      </c>
      <c r="J246" s="73">
        <f>IF($I246=0,"",ROUND($E246/$I246,0))</f>
        <v/>
      </c>
      <c r="K246" s="71">
        <f>IF($B246="",0,$E246*IFERROR(INDEX(Productos!$G$5:$G$124,MATCH($B246,Productos!$A$5:$A$124,0)),0))</f>
        <v/>
      </c>
      <c r="L246" s="71">
        <f>IF($K246=0,0,$K246*Inicio!$C$25/365*Inicio!$C$22)</f>
        <v/>
      </c>
      <c r="M246" s="73">
        <f>IF($B246="","",IF(SUMIF($B$5:$B$304,$B246,$F$5:$F$304)=0,"",ROUND(SUMIF($B$5:$B$304,$B246,$E$5:$E$304)/(SUMIF($B$5:$B$304,$B246,$F$5:$F$304)/Inicio!$C$22),0)))</f>
        <v/>
      </c>
      <c r="N246" s="74">
        <f>IF($B246="","",IF(AND($E246&lt;=0,$F246&gt;0),"QUIEBRE",IF(AND($F246=0,$E246&gt;0),"SIN ROTACIÓN",IF($J246="","",IF($J246&lt;Inicio!$C$23,"RIESGO DE QUIEBRE",IF($J246&gt;Inicio!$C$24*1.5,"EXCESO","SANO"))))))</f>
        <v/>
      </c>
      <c r="O246" s="74">
        <f>IF($M246="","",IF($J246="","",IF($J246&gt;2*$M246,"ENVIAR a otra tienda",IF($J246&lt;0.5*$M246,"PEDIR traslado","—"))))</f>
        <v/>
      </c>
    </row>
    <row r="247" ht="15" customHeight="1" s="47">
      <c r="A247" s="64" t="n"/>
      <c r="B247" s="64" t="n"/>
      <c r="C247" s="59">
        <f>IFERROR(INDEX(Productos!$B$5:$B$124,MATCH($B247,Productos!$A$5:$A$124,0)),"")</f>
        <v/>
      </c>
      <c r="D247" s="59">
        <f>IFERROR(INDEX(Productos!$D$5:$D$124,MATCH($B247,Productos!$A$5:$A$124,0)),"")</f>
        <v/>
      </c>
      <c r="E247" s="64" t="n"/>
      <c r="F247" s="70">
        <f>IF($B247="",0,SUMIFS(Ventas!$F$5:$F$504,Ventas!$B$5:$B$504,$A247,Ventas!$C$5:$C$504,$B247))</f>
        <v/>
      </c>
      <c r="G247" s="71">
        <f>IF($B247="",0,SUMIFS(Ventas!$L$5:$L$504,Ventas!$B$5:$B$504,$A247,Ventas!$C$5:$C$504,$B247))</f>
        <v/>
      </c>
      <c r="H247" s="71">
        <f>IF($B247="",0,SUMIFS(Ventas!$P$5:$P$504,Ventas!$B$5:$B$504,$A247,Ventas!$C$5:$C$504,$B247))</f>
        <v/>
      </c>
      <c r="I247" s="72">
        <f>IF($F247=0,0,$F247/Inicio!$C$22)</f>
        <v/>
      </c>
      <c r="J247" s="73">
        <f>IF($I247=0,"",ROUND($E247/$I247,0))</f>
        <v/>
      </c>
      <c r="K247" s="71">
        <f>IF($B247="",0,$E247*IFERROR(INDEX(Productos!$G$5:$G$124,MATCH($B247,Productos!$A$5:$A$124,0)),0))</f>
        <v/>
      </c>
      <c r="L247" s="71">
        <f>IF($K247=0,0,$K247*Inicio!$C$25/365*Inicio!$C$22)</f>
        <v/>
      </c>
      <c r="M247" s="73">
        <f>IF($B247="","",IF(SUMIF($B$5:$B$304,$B247,$F$5:$F$304)=0,"",ROUND(SUMIF($B$5:$B$304,$B247,$E$5:$E$304)/(SUMIF($B$5:$B$304,$B247,$F$5:$F$304)/Inicio!$C$22),0)))</f>
        <v/>
      </c>
      <c r="N247" s="74">
        <f>IF($B247="","",IF(AND($E247&lt;=0,$F247&gt;0),"QUIEBRE",IF(AND($F247=0,$E247&gt;0),"SIN ROTACIÓN",IF($J247="","",IF($J247&lt;Inicio!$C$23,"RIESGO DE QUIEBRE",IF($J247&gt;Inicio!$C$24*1.5,"EXCESO","SANO"))))))</f>
        <v/>
      </c>
      <c r="O247" s="74">
        <f>IF($M247="","",IF($J247="","",IF($J247&gt;2*$M247,"ENVIAR a otra tienda",IF($J247&lt;0.5*$M247,"PEDIR traslado","—"))))</f>
        <v/>
      </c>
    </row>
    <row r="248" ht="15" customHeight="1" s="47">
      <c r="A248" s="64" t="n"/>
      <c r="B248" s="64" t="n"/>
      <c r="C248" s="59">
        <f>IFERROR(INDEX(Productos!$B$5:$B$124,MATCH($B248,Productos!$A$5:$A$124,0)),"")</f>
        <v/>
      </c>
      <c r="D248" s="59">
        <f>IFERROR(INDEX(Productos!$D$5:$D$124,MATCH($B248,Productos!$A$5:$A$124,0)),"")</f>
        <v/>
      </c>
      <c r="E248" s="64" t="n"/>
      <c r="F248" s="70">
        <f>IF($B248="",0,SUMIFS(Ventas!$F$5:$F$504,Ventas!$B$5:$B$504,$A248,Ventas!$C$5:$C$504,$B248))</f>
        <v/>
      </c>
      <c r="G248" s="71">
        <f>IF($B248="",0,SUMIFS(Ventas!$L$5:$L$504,Ventas!$B$5:$B$504,$A248,Ventas!$C$5:$C$504,$B248))</f>
        <v/>
      </c>
      <c r="H248" s="71">
        <f>IF($B248="",0,SUMIFS(Ventas!$P$5:$P$504,Ventas!$B$5:$B$504,$A248,Ventas!$C$5:$C$504,$B248))</f>
        <v/>
      </c>
      <c r="I248" s="72">
        <f>IF($F248=0,0,$F248/Inicio!$C$22)</f>
        <v/>
      </c>
      <c r="J248" s="73">
        <f>IF($I248=0,"",ROUND($E248/$I248,0))</f>
        <v/>
      </c>
      <c r="K248" s="71">
        <f>IF($B248="",0,$E248*IFERROR(INDEX(Productos!$G$5:$G$124,MATCH($B248,Productos!$A$5:$A$124,0)),0))</f>
        <v/>
      </c>
      <c r="L248" s="71">
        <f>IF($K248=0,0,$K248*Inicio!$C$25/365*Inicio!$C$22)</f>
        <v/>
      </c>
      <c r="M248" s="73">
        <f>IF($B248="","",IF(SUMIF($B$5:$B$304,$B248,$F$5:$F$304)=0,"",ROUND(SUMIF($B$5:$B$304,$B248,$E$5:$E$304)/(SUMIF($B$5:$B$304,$B248,$F$5:$F$304)/Inicio!$C$22),0)))</f>
        <v/>
      </c>
      <c r="N248" s="74">
        <f>IF($B248="","",IF(AND($E248&lt;=0,$F248&gt;0),"QUIEBRE",IF(AND($F248=0,$E248&gt;0),"SIN ROTACIÓN",IF($J248="","",IF($J248&lt;Inicio!$C$23,"RIESGO DE QUIEBRE",IF($J248&gt;Inicio!$C$24*1.5,"EXCESO","SANO"))))))</f>
        <v/>
      </c>
      <c r="O248" s="74">
        <f>IF($M248="","",IF($J248="","",IF($J248&gt;2*$M248,"ENVIAR a otra tienda",IF($J248&lt;0.5*$M248,"PEDIR traslado","—"))))</f>
        <v/>
      </c>
    </row>
    <row r="249" ht="15" customHeight="1" s="47">
      <c r="A249" s="64" t="n"/>
      <c r="B249" s="64" t="n"/>
      <c r="C249" s="59">
        <f>IFERROR(INDEX(Productos!$B$5:$B$124,MATCH($B249,Productos!$A$5:$A$124,0)),"")</f>
        <v/>
      </c>
      <c r="D249" s="59">
        <f>IFERROR(INDEX(Productos!$D$5:$D$124,MATCH($B249,Productos!$A$5:$A$124,0)),"")</f>
        <v/>
      </c>
      <c r="E249" s="64" t="n"/>
      <c r="F249" s="70">
        <f>IF($B249="",0,SUMIFS(Ventas!$F$5:$F$504,Ventas!$B$5:$B$504,$A249,Ventas!$C$5:$C$504,$B249))</f>
        <v/>
      </c>
      <c r="G249" s="71">
        <f>IF($B249="",0,SUMIFS(Ventas!$L$5:$L$504,Ventas!$B$5:$B$504,$A249,Ventas!$C$5:$C$504,$B249))</f>
        <v/>
      </c>
      <c r="H249" s="71">
        <f>IF($B249="",0,SUMIFS(Ventas!$P$5:$P$504,Ventas!$B$5:$B$504,$A249,Ventas!$C$5:$C$504,$B249))</f>
        <v/>
      </c>
      <c r="I249" s="72">
        <f>IF($F249=0,0,$F249/Inicio!$C$22)</f>
        <v/>
      </c>
      <c r="J249" s="73">
        <f>IF($I249=0,"",ROUND($E249/$I249,0))</f>
        <v/>
      </c>
      <c r="K249" s="71">
        <f>IF($B249="",0,$E249*IFERROR(INDEX(Productos!$G$5:$G$124,MATCH($B249,Productos!$A$5:$A$124,0)),0))</f>
        <v/>
      </c>
      <c r="L249" s="71">
        <f>IF($K249=0,0,$K249*Inicio!$C$25/365*Inicio!$C$22)</f>
        <v/>
      </c>
      <c r="M249" s="73">
        <f>IF($B249="","",IF(SUMIF($B$5:$B$304,$B249,$F$5:$F$304)=0,"",ROUND(SUMIF($B$5:$B$304,$B249,$E$5:$E$304)/(SUMIF($B$5:$B$304,$B249,$F$5:$F$304)/Inicio!$C$22),0)))</f>
        <v/>
      </c>
      <c r="N249" s="74">
        <f>IF($B249="","",IF(AND($E249&lt;=0,$F249&gt;0),"QUIEBRE",IF(AND($F249=0,$E249&gt;0),"SIN ROTACIÓN",IF($J249="","",IF($J249&lt;Inicio!$C$23,"RIESGO DE QUIEBRE",IF($J249&gt;Inicio!$C$24*1.5,"EXCESO","SANO"))))))</f>
        <v/>
      </c>
      <c r="O249" s="74">
        <f>IF($M249="","",IF($J249="","",IF($J249&gt;2*$M249,"ENVIAR a otra tienda",IF($J249&lt;0.5*$M249,"PEDIR traslado","—"))))</f>
        <v/>
      </c>
    </row>
    <row r="250" ht="15" customHeight="1" s="47">
      <c r="A250" s="64" t="n"/>
      <c r="B250" s="64" t="n"/>
      <c r="C250" s="59">
        <f>IFERROR(INDEX(Productos!$B$5:$B$124,MATCH($B250,Productos!$A$5:$A$124,0)),"")</f>
        <v/>
      </c>
      <c r="D250" s="59">
        <f>IFERROR(INDEX(Productos!$D$5:$D$124,MATCH($B250,Productos!$A$5:$A$124,0)),"")</f>
        <v/>
      </c>
      <c r="E250" s="64" t="n"/>
      <c r="F250" s="70">
        <f>IF($B250="",0,SUMIFS(Ventas!$F$5:$F$504,Ventas!$B$5:$B$504,$A250,Ventas!$C$5:$C$504,$B250))</f>
        <v/>
      </c>
      <c r="G250" s="71">
        <f>IF($B250="",0,SUMIFS(Ventas!$L$5:$L$504,Ventas!$B$5:$B$504,$A250,Ventas!$C$5:$C$504,$B250))</f>
        <v/>
      </c>
      <c r="H250" s="71">
        <f>IF($B250="",0,SUMIFS(Ventas!$P$5:$P$504,Ventas!$B$5:$B$504,$A250,Ventas!$C$5:$C$504,$B250))</f>
        <v/>
      </c>
      <c r="I250" s="72">
        <f>IF($F250=0,0,$F250/Inicio!$C$22)</f>
        <v/>
      </c>
      <c r="J250" s="73">
        <f>IF($I250=0,"",ROUND($E250/$I250,0))</f>
        <v/>
      </c>
      <c r="K250" s="71">
        <f>IF($B250="",0,$E250*IFERROR(INDEX(Productos!$G$5:$G$124,MATCH($B250,Productos!$A$5:$A$124,0)),0))</f>
        <v/>
      </c>
      <c r="L250" s="71">
        <f>IF($K250=0,0,$K250*Inicio!$C$25/365*Inicio!$C$22)</f>
        <v/>
      </c>
      <c r="M250" s="73">
        <f>IF($B250="","",IF(SUMIF($B$5:$B$304,$B250,$F$5:$F$304)=0,"",ROUND(SUMIF($B$5:$B$304,$B250,$E$5:$E$304)/(SUMIF($B$5:$B$304,$B250,$F$5:$F$304)/Inicio!$C$22),0)))</f>
        <v/>
      </c>
      <c r="N250" s="74">
        <f>IF($B250="","",IF(AND($E250&lt;=0,$F250&gt;0),"QUIEBRE",IF(AND($F250=0,$E250&gt;0),"SIN ROTACIÓN",IF($J250="","",IF($J250&lt;Inicio!$C$23,"RIESGO DE QUIEBRE",IF($J250&gt;Inicio!$C$24*1.5,"EXCESO","SANO"))))))</f>
        <v/>
      </c>
      <c r="O250" s="74">
        <f>IF($M250="","",IF($J250="","",IF($J250&gt;2*$M250,"ENVIAR a otra tienda",IF($J250&lt;0.5*$M250,"PEDIR traslado","—"))))</f>
        <v/>
      </c>
    </row>
    <row r="251" ht="15" customHeight="1" s="47">
      <c r="A251" s="64" t="n"/>
      <c r="B251" s="64" t="n"/>
      <c r="C251" s="59">
        <f>IFERROR(INDEX(Productos!$B$5:$B$124,MATCH($B251,Productos!$A$5:$A$124,0)),"")</f>
        <v/>
      </c>
      <c r="D251" s="59">
        <f>IFERROR(INDEX(Productos!$D$5:$D$124,MATCH($B251,Productos!$A$5:$A$124,0)),"")</f>
        <v/>
      </c>
      <c r="E251" s="64" t="n"/>
      <c r="F251" s="70">
        <f>IF($B251="",0,SUMIFS(Ventas!$F$5:$F$504,Ventas!$B$5:$B$504,$A251,Ventas!$C$5:$C$504,$B251))</f>
        <v/>
      </c>
      <c r="G251" s="71">
        <f>IF($B251="",0,SUMIFS(Ventas!$L$5:$L$504,Ventas!$B$5:$B$504,$A251,Ventas!$C$5:$C$504,$B251))</f>
        <v/>
      </c>
      <c r="H251" s="71">
        <f>IF($B251="",0,SUMIFS(Ventas!$P$5:$P$504,Ventas!$B$5:$B$504,$A251,Ventas!$C$5:$C$504,$B251))</f>
        <v/>
      </c>
      <c r="I251" s="72">
        <f>IF($F251=0,0,$F251/Inicio!$C$22)</f>
        <v/>
      </c>
      <c r="J251" s="73">
        <f>IF($I251=0,"",ROUND($E251/$I251,0))</f>
        <v/>
      </c>
      <c r="K251" s="71">
        <f>IF($B251="",0,$E251*IFERROR(INDEX(Productos!$G$5:$G$124,MATCH($B251,Productos!$A$5:$A$124,0)),0))</f>
        <v/>
      </c>
      <c r="L251" s="71">
        <f>IF($K251=0,0,$K251*Inicio!$C$25/365*Inicio!$C$22)</f>
        <v/>
      </c>
      <c r="M251" s="73">
        <f>IF($B251="","",IF(SUMIF($B$5:$B$304,$B251,$F$5:$F$304)=0,"",ROUND(SUMIF($B$5:$B$304,$B251,$E$5:$E$304)/(SUMIF($B$5:$B$304,$B251,$F$5:$F$304)/Inicio!$C$22),0)))</f>
        <v/>
      </c>
      <c r="N251" s="74">
        <f>IF($B251="","",IF(AND($E251&lt;=0,$F251&gt;0),"QUIEBRE",IF(AND($F251=0,$E251&gt;0),"SIN ROTACIÓN",IF($J251="","",IF($J251&lt;Inicio!$C$23,"RIESGO DE QUIEBRE",IF($J251&gt;Inicio!$C$24*1.5,"EXCESO","SANO"))))))</f>
        <v/>
      </c>
      <c r="O251" s="74">
        <f>IF($M251="","",IF($J251="","",IF($J251&gt;2*$M251,"ENVIAR a otra tienda",IF($J251&lt;0.5*$M251,"PEDIR traslado","—"))))</f>
        <v/>
      </c>
    </row>
    <row r="252" ht="15" customHeight="1" s="47">
      <c r="A252" s="64" t="n"/>
      <c r="B252" s="64" t="n"/>
      <c r="C252" s="59">
        <f>IFERROR(INDEX(Productos!$B$5:$B$124,MATCH($B252,Productos!$A$5:$A$124,0)),"")</f>
        <v/>
      </c>
      <c r="D252" s="59">
        <f>IFERROR(INDEX(Productos!$D$5:$D$124,MATCH($B252,Productos!$A$5:$A$124,0)),"")</f>
        <v/>
      </c>
      <c r="E252" s="64" t="n"/>
      <c r="F252" s="70">
        <f>IF($B252="",0,SUMIFS(Ventas!$F$5:$F$504,Ventas!$B$5:$B$504,$A252,Ventas!$C$5:$C$504,$B252))</f>
        <v/>
      </c>
      <c r="G252" s="71">
        <f>IF($B252="",0,SUMIFS(Ventas!$L$5:$L$504,Ventas!$B$5:$B$504,$A252,Ventas!$C$5:$C$504,$B252))</f>
        <v/>
      </c>
      <c r="H252" s="71">
        <f>IF($B252="",0,SUMIFS(Ventas!$P$5:$P$504,Ventas!$B$5:$B$504,$A252,Ventas!$C$5:$C$504,$B252))</f>
        <v/>
      </c>
      <c r="I252" s="72">
        <f>IF($F252=0,0,$F252/Inicio!$C$22)</f>
        <v/>
      </c>
      <c r="J252" s="73">
        <f>IF($I252=0,"",ROUND($E252/$I252,0))</f>
        <v/>
      </c>
      <c r="K252" s="71">
        <f>IF($B252="",0,$E252*IFERROR(INDEX(Productos!$G$5:$G$124,MATCH($B252,Productos!$A$5:$A$124,0)),0))</f>
        <v/>
      </c>
      <c r="L252" s="71">
        <f>IF($K252=0,0,$K252*Inicio!$C$25/365*Inicio!$C$22)</f>
        <v/>
      </c>
      <c r="M252" s="73">
        <f>IF($B252="","",IF(SUMIF($B$5:$B$304,$B252,$F$5:$F$304)=0,"",ROUND(SUMIF($B$5:$B$304,$B252,$E$5:$E$304)/(SUMIF($B$5:$B$304,$B252,$F$5:$F$304)/Inicio!$C$22),0)))</f>
        <v/>
      </c>
      <c r="N252" s="74">
        <f>IF($B252="","",IF(AND($E252&lt;=0,$F252&gt;0),"QUIEBRE",IF(AND($F252=0,$E252&gt;0),"SIN ROTACIÓN",IF($J252="","",IF($J252&lt;Inicio!$C$23,"RIESGO DE QUIEBRE",IF($J252&gt;Inicio!$C$24*1.5,"EXCESO","SANO"))))))</f>
        <v/>
      </c>
      <c r="O252" s="74">
        <f>IF($M252="","",IF($J252="","",IF($J252&gt;2*$M252,"ENVIAR a otra tienda",IF($J252&lt;0.5*$M252,"PEDIR traslado","—"))))</f>
        <v/>
      </c>
    </row>
    <row r="253" ht="15" customHeight="1" s="47">
      <c r="A253" s="64" t="n"/>
      <c r="B253" s="64" t="n"/>
      <c r="C253" s="59">
        <f>IFERROR(INDEX(Productos!$B$5:$B$124,MATCH($B253,Productos!$A$5:$A$124,0)),"")</f>
        <v/>
      </c>
      <c r="D253" s="59">
        <f>IFERROR(INDEX(Productos!$D$5:$D$124,MATCH($B253,Productos!$A$5:$A$124,0)),"")</f>
        <v/>
      </c>
      <c r="E253" s="64" t="n"/>
      <c r="F253" s="70">
        <f>IF($B253="",0,SUMIFS(Ventas!$F$5:$F$504,Ventas!$B$5:$B$504,$A253,Ventas!$C$5:$C$504,$B253))</f>
        <v/>
      </c>
      <c r="G253" s="71">
        <f>IF($B253="",0,SUMIFS(Ventas!$L$5:$L$504,Ventas!$B$5:$B$504,$A253,Ventas!$C$5:$C$504,$B253))</f>
        <v/>
      </c>
      <c r="H253" s="71">
        <f>IF($B253="",0,SUMIFS(Ventas!$P$5:$P$504,Ventas!$B$5:$B$504,$A253,Ventas!$C$5:$C$504,$B253))</f>
        <v/>
      </c>
      <c r="I253" s="72">
        <f>IF($F253=0,0,$F253/Inicio!$C$22)</f>
        <v/>
      </c>
      <c r="J253" s="73">
        <f>IF($I253=0,"",ROUND($E253/$I253,0))</f>
        <v/>
      </c>
      <c r="K253" s="71">
        <f>IF($B253="",0,$E253*IFERROR(INDEX(Productos!$G$5:$G$124,MATCH($B253,Productos!$A$5:$A$124,0)),0))</f>
        <v/>
      </c>
      <c r="L253" s="71">
        <f>IF($K253=0,0,$K253*Inicio!$C$25/365*Inicio!$C$22)</f>
        <v/>
      </c>
      <c r="M253" s="73">
        <f>IF($B253="","",IF(SUMIF($B$5:$B$304,$B253,$F$5:$F$304)=0,"",ROUND(SUMIF($B$5:$B$304,$B253,$E$5:$E$304)/(SUMIF($B$5:$B$304,$B253,$F$5:$F$304)/Inicio!$C$22),0)))</f>
        <v/>
      </c>
      <c r="N253" s="74">
        <f>IF($B253="","",IF(AND($E253&lt;=0,$F253&gt;0),"QUIEBRE",IF(AND($F253=0,$E253&gt;0),"SIN ROTACIÓN",IF($J253="","",IF($J253&lt;Inicio!$C$23,"RIESGO DE QUIEBRE",IF($J253&gt;Inicio!$C$24*1.5,"EXCESO","SANO"))))))</f>
        <v/>
      </c>
      <c r="O253" s="74">
        <f>IF($M253="","",IF($J253="","",IF($J253&gt;2*$M253,"ENVIAR a otra tienda",IF($J253&lt;0.5*$M253,"PEDIR traslado","—"))))</f>
        <v/>
      </c>
    </row>
    <row r="254" ht="15" customHeight="1" s="47">
      <c r="A254" s="64" t="n"/>
      <c r="B254" s="64" t="n"/>
      <c r="C254" s="59">
        <f>IFERROR(INDEX(Productos!$B$5:$B$124,MATCH($B254,Productos!$A$5:$A$124,0)),"")</f>
        <v/>
      </c>
      <c r="D254" s="59">
        <f>IFERROR(INDEX(Productos!$D$5:$D$124,MATCH($B254,Productos!$A$5:$A$124,0)),"")</f>
        <v/>
      </c>
      <c r="E254" s="64" t="n"/>
      <c r="F254" s="70">
        <f>IF($B254="",0,SUMIFS(Ventas!$F$5:$F$504,Ventas!$B$5:$B$504,$A254,Ventas!$C$5:$C$504,$B254))</f>
        <v/>
      </c>
      <c r="G254" s="71">
        <f>IF($B254="",0,SUMIFS(Ventas!$L$5:$L$504,Ventas!$B$5:$B$504,$A254,Ventas!$C$5:$C$504,$B254))</f>
        <v/>
      </c>
      <c r="H254" s="71">
        <f>IF($B254="",0,SUMIFS(Ventas!$P$5:$P$504,Ventas!$B$5:$B$504,$A254,Ventas!$C$5:$C$504,$B254))</f>
        <v/>
      </c>
      <c r="I254" s="72">
        <f>IF($F254=0,0,$F254/Inicio!$C$22)</f>
        <v/>
      </c>
      <c r="J254" s="73">
        <f>IF($I254=0,"",ROUND($E254/$I254,0))</f>
        <v/>
      </c>
      <c r="K254" s="71">
        <f>IF($B254="",0,$E254*IFERROR(INDEX(Productos!$G$5:$G$124,MATCH($B254,Productos!$A$5:$A$124,0)),0))</f>
        <v/>
      </c>
      <c r="L254" s="71">
        <f>IF($K254=0,0,$K254*Inicio!$C$25/365*Inicio!$C$22)</f>
        <v/>
      </c>
      <c r="M254" s="73">
        <f>IF($B254="","",IF(SUMIF($B$5:$B$304,$B254,$F$5:$F$304)=0,"",ROUND(SUMIF($B$5:$B$304,$B254,$E$5:$E$304)/(SUMIF($B$5:$B$304,$B254,$F$5:$F$304)/Inicio!$C$22),0)))</f>
        <v/>
      </c>
      <c r="N254" s="74">
        <f>IF($B254="","",IF(AND($E254&lt;=0,$F254&gt;0),"QUIEBRE",IF(AND($F254=0,$E254&gt;0),"SIN ROTACIÓN",IF($J254="","",IF($J254&lt;Inicio!$C$23,"RIESGO DE QUIEBRE",IF($J254&gt;Inicio!$C$24*1.5,"EXCESO","SANO"))))))</f>
        <v/>
      </c>
      <c r="O254" s="74">
        <f>IF($M254="","",IF($J254="","",IF($J254&gt;2*$M254,"ENVIAR a otra tienda",IF($J254&lt;0.5*$M254,"PEDIR traslado","—"))))</f>
        <v/>
      </c>
    </row>
    <row r="255" ht="15" customHeight="1" s="47">
      <c r="A255" s="64" t="n"/>
      <c r="B255" s="64" t="n"/>
      <c r="C255" s="59">
        <f>IFERROR(INDEX(Productos!$B$5:$B$124,MATCH($B255,Productos!$A$5:$A$124,0)),"")</f>
        <v/>
      </c>
      <c r="D255" s="59">
        <f>IFERROR(INDEX(Productos!$D$5:$D$124,MATCH($B255,Productos!$A$5:$A$124,0)),"")</f>
        <v/>
      </c>
      <c r="E255" s="64" t="n"/>
      <c r="F255" s="70">
        <f>IF($B255="",0,SUMIFS(Ventas!$F$5:$F$504,Ventas!$B$5:$B$504,$A255,Ventas!$C$5:$C$504,$B255))</f>
        <v/>
      </c>
      <c r="G255" s="71">
        <f>IF($B255="",0,SUMIFS(Ventas!$L$5:$L$504,Ventas!$B$5:$B$504,$A255,Ventas!$C$5:$C$504,$B255))</f>
        <v/>
      </c>
      <c r="H255" s="71">
        <f>IF($B255="",0,SUMIFS(Ventas!$P$5:$P$504,Ventas!$B$5:$B$504,$A255,Ventas!$C$5:$C$504,$B255))</f>
        <v/>
      </c>
      <c r="I255" s="72">
        <f>IF($F255=0,0,$F255/Inicio!$C$22)</f>
        <v/>
      </c>
      <c r="J255" s="73">
        <f>IF($I255=0,"",ROUND($E255/$I255,0))</f>
        <v/>
      </c>
      <c r="K255" s="71">
        <f>IF($B255="",0,$E255*IFERROR(INDEX(Productos!$G$5:$G$124,MATCH($B255,Productos!$A$5:$A$124,0)),0))</f>
        <v/>
      </c>
      <c r="L255" s="71">
        <f>IF($K255=0,0,$K255*Inicio!$C$25/365*Inicio!$C$22)</f>
        <v/>
      </c>
      <c r="M255" s="73">
        <f>IF($B255="","",IF(SUMIF($B$5:$B$304,$B255,$F$5:$F$304)=0,"",ROUND(SUMIF($B$5:$B$304,$B255,$E$5:$E$304)/(SUMIF($B$5:$B$304,$B255,$F$5:$F$304)/Inicio!$C$22),0)))</f>
        <v/>
      </c>
      <c r="N255" s="74">
        <f>IF($B255="","",IF(AND($E255&lt;=0,$F255&gt;0),"QUIEBRE",IF(AND($F255=0,$E255&gt;0),"SIN ROTACIÓN",IF($J255="","",IF($J255&lt;Inicio!$C$23,"RIESGO DE QUIEBRE",IF($J255&gt;Inicio!$C$24*1.5,"EXCESO","SANO"))))))</f>
        <v/>
      </c>
      <c r="O255" s="74">
        <f>IF($M255="","",IF($J255="","",IF($J255&gt;2*$M255,"ENVIAR a otra tienda",IF($J255&lt;0.5*$M255,"PEDIR traslado","—"))))</f>
        <v/>
      </c>
    </row>
    <row r="256" ht="15" customHeight="1" s="47">
      <c r="A256" s="64" t="n"/>
      <c r="B256" s="64" t="n"/>
      <c r="C256" s="59">
        <f>IFERROR(INDEX(Productos!$B$5:$B$124,MATCH($B256,Productos!$A$5:$A$124,0)),"")</f>
        <v/>
      </c>
      <c r="D256" s="59">
        <f>IFERROR(INDEX(Productos!$D$5:$D$124,MATCH($B256,Productos!$A$5:$A$124,0)),"")</f>
        <v/>
      </c>
      <c r="E256" s="64" t="n"/>
      <c r="F256" s="70">
        <f>IF($B256="",0,SUMIFS(Ventas!$F$5:$F$504,Ventas!$B$5:$B$504,$A256,Ventas!$C$5:$C$504,$B256))</f>
        <v/>
      </c>
      <c r="G256" s="71">
        <f>IF($B256="",0,SUMIFS(Ventas!$L$5:$L$504,Ventas!$B$5:$B$504,$A256,Ventas!$C$5:$C$504,$B256))</f>
        <v/>
      </c>
      <c r="H256" s="71">
        <f>IF($B256="",0,SUMIFS(Ventas!$P$5:$P$504,Ventas!$B$5:$B$504,$A256,Ventas!$C$5:$C$504,$B256))</f>
        <v/>
      </c>
      <c r="I256" s="72">
        <f>IF($F256=0,0,$F256/Inicio!$C$22)</f>
        <v/>
      </c>
      <c r="J256" s="73">
        <f>IF($I256=0,"",ROUND($E256/$I256,0))</f>
        <v/>
      </c>
      <c r="K256" s="71">
        <f>IF($B256="",0,$E256*IFERROR(INDEX(Productos!$G$5:$G$124,MATCH($B256,Productos!$A$5:$A$124,0)),0))</f>
        <v/>
      </c>
      <c r="L256" s="71">
        <f>IF($K256=0,0,$K256*Inicio!$C$25/365*Inicio!$C$22)</f>
        <v/>
      </c>
      <c r="M256" s="73">
        <f>IF($B256="","",IF(SUMIF($B$5:$B$304,$B256,$F$5:$F$304)=0,"",ROUND(SUMIF($B$5:$B$304,$B256,$E$5:$E$304)/(SUMIF($B$5:$B$304,$B256,$F$5:$F$304)/Inicio!$C$22),0)))</f>
        <v/>
      </c>
      <c r="N256" s="74">
        <f>IF($B256="","",IF(AND($E256&lt;=0,$F256&gt;0),"QUIEBRE",IF(AND($F256=0,$E256&gt;0),"SIN ROTACIÓN",IF($J256="","",IF($J256&lt;Inicio!$C$23,"RIESGO DE QUIEBRE",IF($J256&gt;Inicio!$C$24*1.5,"EXCESO","SANO"))))))</f>
        <v/>
      </c>
      <c r="O256" s="74">
        <f>IF($M256="","",IF($J256="","",IF($J256&gt;2*$M256,"ENVIAR a otra tienda",IF($J256&lt;0.5*$M256,"PEDIR traslado","—"))))</f>
        <v/>
      </c>
    </row>
    <row r="257" ht="15" customHeight="1" s="47">
      <c r="A257" s="64" t="n"/>
      <c r="B257" s="64" t="n"/>
      <c r="C257" s="59">
        <f>IFERROR(INDEX(Productos!$B$5:$B$124,MATCH($B257,Productos!$A$5:$A$124,0)),"")</f>
        <v/>
      </c>
      <c r="D257" s="59">
        <f>IFERROR(INDEX(Productos!$D$5:$D$124,MATCH($B257,Productos!$A$5:$A$124,0)),"")</f>
        <v/>
      </c>
      <c r="E257" s="64" t="n"/>
      <c r="F257" s="70">
        <f>IF($B257="",0,SUMIFS(Ventas!$F$5:$F$504,Ventas!$B$5:$B$504,$A257,Ventas!$C$5:$C$504,$B257))</f>
        <v/>
      </c>
      <c r="G257" s="71">
        <f>IF($B257="",0,SUMIFS(Ventas!$L$5:$L$504,Ventas!$B$5:$B$504,$A257,Ventas!$C$5:$C$504,$B257))</f>
        <v/>
      </c>
      <c r="H257" s="71">
        <f>IF($B257="",0,SUMIFS(Ventas!$P$5:$P$504,Ventas!$B$5:$B$504,$A257,Ventas!$C$5:$C$504,$B257))</f>
        <v/>
      </c>
      <c r="I257" s="72">
        <f>IF($F257=0,0,$F257/Inicio!$C$22)</f>
        <v/>
      </c>
      <c r="J257" s="73">
        <f>IF($I257=0,"",ROUND($E257/$I257,0))</f>
        <v/>
      </c>
      <c r="K257" s="71">
        <f>IF($B257="",0,$E257*IFERROR(INDEX(Productos!$G$5:$G$124,MATCH($B257,Productos!$A$5:$A$124,0)),0))</f>
        <v/>
      </c>
      <c r="L257" s="71">
        <f>IF($K257=0,0,$K257*Inicio!$C$25/365*Inicio!$C$22)</f>
        <v/>
      </c>
      <c r="M257" s="73">
        <f>IF($B257="","",IF(SUMIF($B$5:$B$304,$B257,$F$5:$F$304)=0,"",ROUND(SUMIF($B$5:$B$304,$B257,$E$5:$E$304)/(SUMIF($B$5:$B$304,$B257,$F$5:$F$304)/Inicio!$C$22),0)))</f>
        <v/>
      </c>
      <c r="N257" s="74">
        <f>IF($B257="","",IF(AND($E257&lt;=0,$F257&gt;0),"QUIEBRE",IF(AND($F257=0,$E257&gt;0),"SIN ROTACIÓN",IF($J257="","",IF($J257&lt;Inicio!$C$23,"RIESGO DE QUIEBRE",IF($J257&gt;Inicio!$C$24*1.5,"EXCESO","SANO"))))))</f>
        <v/>
      </c>
      <c r="O257" s="74">
        <f>IF($M257="","",IF($J257="","",IF($J257&gt;2*$M257,"ENVIAR a otra tienda",IF($J257&lt;0.5*$M257,"PEDIR traslado","—"))))</f>
        <v/>
      </c>
    </row>
    <row r="258" ht="15" customHeight="1" s="47">
      <c r="A258" s="64" t="n"/>
      <c r="B258" s="64" t="n"/>
      <c r="C258" s="59">
        <f>IFERROR(INDEX(Productos!$B$5:$B$124,MATCH($B258,Productos!$A$5:$A$124,0)),"")</f>
        <v/>
      </c>
      <c r="D258" s="59">
        <f>IFERROR(INDEX(Productos!$D$5:$D$124,MATCH($B258,Productos!$A$5:$A$124,0)),"")</f>
        <v/>
      </c>
      <c r="E258" s="64" t="n"/>
      <c r="F258" s="70">
        <f>IF($B258="",0,SUMIFS(Ventas!$F$5:$F$504,Ventas!$B$5:$B$504,$A258,Ventas!$C$5:$C$504,$B258))</f>
        <v/>
      </c>
      <c r="G258" s="71">
        <f>IF($B258="",0,SUMIFS(Ventas!$L$5:$L$504,Ventas!$B$5:$B$504,$A258,Ventas!$C$5:$C$504,$B258))</f>
        <v/>
      </c>
      <c r="H258" s="71">
        <f>IF($B258="",0,SUMIFS(Ventas!$P$5:$P$504,Ventas!$B$5:$B$504,$A258,Ventas!$C$5:$C$504,$B258))</f>
        <v/>
      </c>
      <c r="I258" s="72">
        <f>IF($F258=0,0,$F258/Inicio!$C$22)</f>
        <v/>
      </c>
      <c r="J258" s="73">
        <f>IF($I258=0,"",ROUND($E258/$I258,0))</f>
        <v/>
      </c>
      <c r="K258" s="71">
        <f>IF($B258="",0,$E258*IFERROR(INDEX(Productos!$G$5:$G$124,MATCH($B258,Productos!$A$5:$A$124,0)),0))</f>
        <v/>
      </c>
      <c r="L258" s="71">
        <f>IF($K258=0,0,$K258*Inicio!$C$25/365*Inicio!$C$22)</f>
        <v/>
      </c>
      <c r="M258" s="73">
        <f>IF($B258="","",IF(SUMIF($B$5:$B$304,$B258,$F$5:$F$304)=0,"",ROUND(SUMIF($B$5:$B$304,$B258,$E$5:$E$304)/(SUMIF($B$5:$B$304,$B258,$F$5:$F$304)/Inicio!$C$22),0)))</f>
        <v/>
      </c>
      <c r="N258" s="74">
        <f>IF($B258="","",IF(AND($E258&lt;=0,$F258&gt;0),"QUIEBRE",IF(AND($F258=0,$E258&gt;0),"SIN ROTACIÓN",IF($J258="","",IF($J258&lt;Inicio!$C$23,"RIESGO DE QUIEBRE",IF($J258&gt;Inicio!$C$24*1.5,"EXCESO","SANO"))))))</f>
        <v/>
      </c>
      <c r="O258" s="74">
        <f>IF($M258="","",IF($J258="","",IF($J258&gt;2*$M258,"ENVIAR a otra tienda",IF($J258&lt;0.5*$M258,"PEDIR traslado","—"))))</f>
        <v/>
      </c>
    </row>
    <row r="259" ht="15" customHeight="1" s="47">
      <c r="A259" s="64" t="n"/>
      <c r="B259" s="64" t="n"/>
      <c r="C259" s="59">
        <f>IFERROR(INDEX(Productos!$B$5:$B$124,MATCH($B259,Productos!$A$5:$A$124,0)),"")</f>
        <v/>
      </c>
      <c r="D259" s="59">
        <f>IFERROR(INDEX(Productos!$D$5:$D$124,MATCH($B259,Productos!$A$5:$A$124,0)),"")</f>
        <v/>
      </c>
      <c r="E259" s="64" t="n"/>
      <c r="F259" s="70">
        <f>IF($B259="",0,SUMIFS(Ventas!$F$5:$F$504,Ventas!$B$5:$B$504,$A259,Ventas!$C$5:$C$504,$B259))</f>
        <v/>
      </c>
      <c r="G259" s="71">
        <f>IF($B259="",0,SUMIFS(Ventas!$L$5:$L$504,Ventas!$B$5:$B$504,$A259,Ventas!$C$5:$C$504,$B259))</f>
        <v/>
      </c>
      <c r="H259" s="71">
        <f>IF($B259="",0,SUMIFS(Ventas!$P$5:$P$504,Ventas!$B$5:$B$504,$A259,Ventas!$C$5:$C$504,$B259))</f>
        <v/>
      </c>
      <c r="I259" s="72">
        <f>IF($F259=0,0,$F259/Inicio!$C$22)</f>
        <v/>
      </c>
      <c r="J259" s="73">
        <f>IF($I259=0,"",ROUND($E259/$I259,0))</f>
        <v/>
      </c>
      <c r="K259" s="71">
        <f>IF($B259="",0,$E259*IFERROR(INDEX(Productos!$G$5:$G$124,MATCH($B259,Productos!$A$5:$A$124,0)),0))</f>
        <v/>
      </c>
      <c r="L259" s="71">
        <f>IF($K259=0,0,$K259*Inicio!$C$25/365*Inicio!$C$22)</f>
        <v/>
      </c>
      <c r="M259" s="73">
        <f>IF($B259="","",IF(SUMIF($B$5:$B$304,$B259,$F$5:$F$304)=0,"",ROUND(SUMIF($B$5:$B$304,$B259,$E$5:$E$304)/(SUMIF($B$5:$B$304,$B259,$F$5:$F$304)/Inicio!$C$22),0)))</f>
        <v/>
      </c>
      <c r="N259" s="74">
        <f>IF($B259="","",IF(AND($E259&lt;=0,$F259&gt;0),"QUIEBRE",IF(AND($F259=0,$E259&gt;0),"SIN ROTACIÓN",IF($J259="","",IF($J259&lt;Inicio!$C$23,"RIESGO DE QUIEBRE",IF($J259&gt;Inicio!$C$24*1.5,"EXCESO","SANO"))))))</f>
        <v/>
      </c>
      <c r="O259" s="74">
        <f>IF($M259="","",IF($J259="","",IF($J259&gt;2*$M259,"ENVIAR a otra tienda",IF($J259&lt;0.5*$M259,"PEDIR traslado","—"))))</f>
        <v/>
      </c>
    </row>
    <row r="260" ht="15" customHeight="1" s="47">
      <c r="A260" s="64" t="n"/>
      <c r="B260" s="64" t="n"/>
      <c r="C260" s="59">
        <f>IFERROR(INDEX(Productos!$B$5:$B$124,MATCH($B260,Productos!$A$5:$A$124,0)),"")</f>
        <v/>
      </c>
      <c r="D260" s="59">
        <f>IFERROR(INDEX(Productos!$D$5:$D$124,MATCH($B260,Productos!$A$5:$A$124,0)),"")</f>
        <v/>
      </c>
      <c r="E260" s="64" t="n"/>
      <c r="F260" s="70">
        <f>IF($B260="",0,SUMIFS(Ventas!$F$5:$F$504,Ventas!$B$5:$B$504,$A260,Ventas!$C$5:$C$504,$B260))</f>
        <v/>
      </c>
      <c r="G260" s="71">
        <f>IF($B260="",0,SUMIFS(Ventas!$L$5:$L$504,Ventas!$B$5:$B$504,$A260,Ventas!$C$5:$C$504,$B260))</f>
        <v/>
      </c>
      <c r="H260" s="71">
        <f>IF($B260="",0,SUMIFS(Ventas!$P$5:$P$504,Ventas!$B$5:$B$504,$A260,Ventas!$C$5:$C$504,$B260))</f>
        <v/>
      </c>
      <c r="I260" s="72">
        <f>IF($F260=0,0,$F260/Inicio!$C$22)</f>
        <v/>
      </c>
      <c r="J260" s="73">
        <f>IF($I260=0,"",ROUND($E260/$I260,0))</f>
        <v/>
      </c>
      <c r="K260" s="71">
        <f>IF($B260="",0,$E260*IFERROR(INDEX(Productos!$G$5:$G$124,MATCH($B260,Productos!$A$5:$A$124,0)),0))</f>
        <v/>
      </c>
      <c r="L260" s="71">
        <f>IF($K260=0,0,$K260*Inicio!$C$25/365*Inicio!$C$22)</f>
        <v/>
      </c>
      <c r="M260" s="73">
        <f>IF($B260="","",IF(SUMIF($B$5:$B$304,$B260,$F$5:$F$304)=0,"",ROUND(SUMIF($B$5:$B$304,$B260,$E$5:$E$304)/(SUMIF($B$5:$B$304,$B260,$F$5:$F$304)/Inicio!$C$22),0)))</f>
        <v/>
      </c>
      <c r="N260" s="74">
        <f>IF($B260="","",IF(AND($E260&lt;=0,$F260&gt;0),"QUIEBRE",IF(AND($F260=0,$E260&gt;0),"SIN ROTACIÓN",IF($J260="","",IF($J260&lt;Inicio!$C$23,"RIESGO DE QUIEBRE",IF($J260&gt;Inicio!$C$24*1.5,"EXCESO","SANO"))))))</f>
        <v/>
      </c>
      <c r="O260" s="74">
        <f>IF($M260="","",IF($J260="","",IF($J260&gt;2*$M260,"ENVIAR a otra tienda",IF($J260&lt;0.5*$M260,"PEDIR traslado","—"))))</f>
        <v/>
      </c>
    </row>
    <row r="261" ht="15" customHeight="1" s="47">
      <c r="A261" s="64" t="n"/>
      <c r="B261" s="64" t="n"/>
      <c r="C261" s="59">
        <f>IFERROR(INDEX(Productos!$B$5:$B$124,MATCH($B261,Productos!$A$5:$A$124,0)),"")</f>
        <v/>
      </c>
      <c r="D261" s="59">
        <f>IFERROR(INDEX(Productos!$D$5:$D$124,MATCH($B261,Productos!$A$5:$A$124,0)),"")</f>
        <v/>
      </c>
      <c r="E261" s="64" t="n"/>
      <c r="F261" s="70">
        <f>IF($B261="",0,SUMIFS(Ventas!$F$5:$F$504,Ventas!$B$5:$B$504,$A261,Ventas!$C$5:$C$504,$B261))</f>
        <v/>
      </c>
      <c r="G261" s="71">
        <f>IF($B261="",0,SUMIFS(Ventas!$L$5:$L$504,Ventas!$B$5:$B$504,$A261,Ventas!$C$5:$C$504,$B261))</f>
        <v/>
      </c>
      <c r="H261" s="71">
        <f>IF($B261="",0,SUMIFS(Ventas!$P$5:$P$504,Ventas!$B$5:$B$504,$A261,Ventas!$C$5:$C$504,$B261))</f>
        <v/>
      </c>
      <c r="I261" s="72">
        <f>IF($F261=0,0,$F261/Inicio!$C$22)</f>
        <v/>
      </c>
      <c r="J261" s="73">
        <f>IF($I261=0,"",ROUND($E261/$I261,0))</f>
        <v/>
      </c>
      <c r="K261" s="71">
        <f>IF($B261="",0,$E261*IFERROR(INDEX(Productos!$G$5:$G$124,MATCH($B261,Productos!$A$5:$A$124,0)),0))</f>
        <v/>
      </c>
      <c r="L261" s="71">
        <f>IF($K261=0,0,$K261*Inicio!$C$25/365*Inicio!$C$22)</f>
        <v/>
      </c>
      <c r="M261" s="73">
        <f>IF($B261="","",IF(SUMIF($B$5:$B$304,$B261,$F$5:$F$304)=0,"",ROUND(SUMIF($B$5:$B$304,$B261,$E$5:$E$304)/(SUMIF($B$5:$B$304,$B261,$F$5:$F$304)/Inicio!$C$22),0)))</f>
        <v/>
      </c>
      <c r="N261" s="74">
        <f>IF($B261="","",IF(AND($E261&lt;=0,$F261&gt;0),"QUIEBRE",IF(AND($F261=0,$E261&gt;0),"SIN ROTACIÓN",IF($J261="","",IF($J261&lt;Inicio!$C$23,"RIESGO DE QUIEBRE",IF($J261&gt;Inicio!$C$24*1.5,"EXCESO","SANO"))))))</f>
        <v/>
      </c>
      <c r="O261" s="74">
        <f>IF($M261="","",IF($J261="","",IF($J261&gt;2*$M261,"ENVIAR a otra tienda",IF($J261&lt;0.5*$M261,"PEDIR traslado","—"))))</f>
        <v/>
      </c>
    </row>
    <row r="262" ht="15" customHeight="1" s="47">
      <c r="A262" s="64" t="n"/>
      <c r="B262" s="64" t="n"/>
      <c r="C262" s="59">
        <f>IFERROR(INDEX(Productos!$B$5:$B$124,MATCH($B262,Productos!$A$5:$A$124,0)),"")</f>
        <v/>
      </c>
      <c r="D262" s="59">
        <f>IFERROR(INDEX(Productos!$D$5:$D$124,MATCH($B262,Productos!$A$5:$A$124,0)),"")</f>
        <v/>
      </c>
      <c r="E262" s="64" t="n"/>
      <c r="F262" s="70">
        <f>IF($B262="",0,SUMIFS(Ventas!$F$5:$F$504,Ventas!$B$5:$B$504,$A262,Ventas!$C$5:$C$504,$B262))</f>
        <v/>
      </c>
      <c r="G262" s="71">
        <f>IF($B262="",0,SUMIFS(Ventas!$L$5:$L$504,Ventas!$B$5:$B$504,$A262,Ventas!$C$5:$C$504,$B262))</f>
        <v/>
      </c>
      <c r="H262" s="71">
        <f>IF($B262="",0,SUMIFS(Ventas!$P$5:$P$504,Ventas!$B$5:$B$504,$A262,Ventas!$C$5:$C$504,$B262))</f>
        <v/>
      </c>
      <c r="I262" s="72">
        <f>IF($F262=0,0,$F262/Inicio!$C$22)</f>
        <v/>
      </c>
      <c r="J262" s="73">
        <f>IF($I262=0,"",ROUND($E262/$I262,0))</f>
        <v/>
      </c>
      <c r="K262" s="71">
        <f>IF($B262="",0,$E262*IFERROR(INDEX(Productos!$G$5:$G$124,MATCH($B262,Productos!$A$5:$A$124,0)),0))</f>
        <v/>
      </c>
      <c r="L262" s="71">
        <f>IF($K262=0,0,$K262*Inicio!$C$25/365*Inicio!$C$22)</f>
        <v/>
      </c>
      <c r="M262" s="73">
        <f>IF($B262="","",IF(SUMIF($B$5:$B$304,$B262,$F$5:$F$304)=0,"",ROUND(SUMIF($B$5:$B$304,$B262,$E$5:$E$304)/(SUMIF($B$5:$B$304,$B262,$F$5:$F$304)/Inicio!$C$22),0)))</f>
        <v/>
      </c>
      <c r="N262" s="74">
        <f>IF($B262="","",IF(AND($E262&lt;=0,$F262&gt;0),"QUIEBRE",IF(AND($F262=0,$E262&gt;0),"SIN ROTACIÓN",IF($J262="","",IF($J262&lt;Inicio!$C$23,"RIESGO DE QUIEBRE",IF($J262&gt;Inicio!$C$24*1.5,"EXCESO","SANO"))))))</f>
        <v/>
      </c>
      <c r="O262" s="74">
        <f>IF($M262="","",IF($J262="","",IF($J262&gt;2*$M262,"ENVIAR a otra tienda",IF($J262&lt;0.5*$M262,"PEDIR traslado","—"))))</f>
        <v/>
      </c>
    </row>
    <row r="263" ht="15" customHeight="1" s="47">
      <c r="A263" s="64" t="n"/>
      <c r="B263" s="64" t="n"/>
      <c r="C263" s="59">
        <f>IFERROR(INDEX(Productos!$B$5:$B$124,MATCH($B263,Productos!$A$5:$A$124,0)),"")</f>
        <v/>
      </c>
      <c r="D263" s="59">
        <f>IFERROR(INDEX(Productos!$D$5:$D$124,MATCH($B263,Productos!$A$5:$A$124,0)),"")</f>
        <v/>
      </c>
      <c r="E263" s="64" t="n"/>
      <c r="F263" s="70">
        <f>IF($B263="",0,SUMIFS(Ventas!$F$5:$F$504,Ventas!$B$5:$B$504,$A263,Ventas!$C$5:$C$504,$B263))</f>
        <v/>
      </c>
      <c r="G263" s="71">
        <f>IF($B263="",0,SUMIFS(Ventas!$L$5:$L$504,Ventas!$B$5:$B$504,$A263,Ventas!$C$5:$C$504,$B263))</f>
        <v/>
      </c>
      <c r="H263" s="71">
        <f>IF($B263="",0,SUMIFS(Ventas!$P$5:$P$504,Ventas!$B$5:$B$504,$A263,Ventas!$C$5:$C$504,$B263))</f>
        <v/>
      </c>
      <c r="I263" s="72">
        <f>IF($F263=0,0,$F263/Inicio!$C$22)</f>
        <v/>
      </c>
      <c r="J263" s="73">
        <f>IF($I263=0,"",ROUND($E263/$I263,0))</f>
        <v/>
      </c>
      <c r="K263" s="71">
        <f>IF($B263="",0,$E263*IFERROR(INDEX(Productos!$G$5:$G$124,MATCH($B263,Productos!$A$5:$A$124,0)),0))</f>
        <v/>
      </c>
      <c r="L263" s="71">
        <f>IF($K263=0,0,$K263*Inicio!$C$25/365*Inicio!$C$22)</f>
        <v/>
      </c>
      <c r="M263" s="73">
        <f>IF($B263="","",IF(SUMIF($B$5:$B$304,$B263,$F$5:$F$304)=0,"",ROUND(SUMIF($B$5:$B$304,$B263,$E$5:$E$304)/(SUMIF($B$5:$B$304,$B263,$F$5:$F$304)/Inicio!$C$22),0)))</f>
        <v/>
      </c>
      <c r="N263" s="74">
        <f>IF($B263="","",IF(AND($E263&lt;=0,$F263&gt;0),"QUIEBRE",IF(AND($F263=0,$E263&gt;0),"SIN ROTACIÓN",IF($J263="","",IF($J263&lt;Inicio!$C$23,"RIESGO DE QUIEBRE",IF($J263&gt;Inicio!$C$24*1.5,"EXCESO","SANO"))))))</f>
        <v/>
      </c>
      <c r="O263" s="74">
        <f>IF($M263="","",IF($J263="","",IF($J263&gt;2*$M263,"ENVIAR a otra tienda",IF($J263&lt;0.5*$M263,"PEDIR traslado","—"))))</f>
        <v/>
      </c>
    </row>
    <row r="264" ht="15" customHeight="1" s="47">
      <c r="A264" s="64" t="n"/>
      <c r="B264" s="64" t="n"/>
      <c r="C264" s="59">
        <f>IFERROR(INDEX(Productos!$B$5:$B$124,MATCH($B264,Productos!$A$5:$A$124,0)),"")</f>
        <v/>
      </c>
      <c r="D264" s="59">
        <f>IFERROR(INDEX(Productos!$D$5:$D$124,MATCH($B264,Productos!$A$5:$A$124,0)),"")</f>
        <v/>
      </c>
      <c r="E264" s="64" t="n"/>
      <c r="F264" s="70">
        <f>IF($B264="",0,SUMIFS(Ventas!$F$5:$F$504,Ventas!$B$5:$B$504,$A264,Ventas!$C$5:$C$504,$B264))</f>
        <v/>
      </c>
      <c r="G264" s="71">
        <f>IF($B264="",0,SUMIFS(Ventas!$L$5:$L$504,Ventas!$B$5:$B$504,$A264,Ventas!$C$5:$C$504,$B264))</f>
        <v/>
      </c>
      <c r="H264" s="71">
        <f>IF($B264="",0,SUMIFS(Ventas!$P$5:$P$504,Ventas!$B$5:$B$504,$A264,Ventas!$C$5:$C$504,$B264))</f>
        <v/>
      </c>
      <c r="I264" s="72">
        <f>IF($F264=0,0,$F264/Inicio!$C$22)</f>
        <v/>
      </c>
      <c r="J264" s="73">
        <f>IF($I264=0,"",ROUND($E264/$I264,0))</f>
        <v/>
      </c>
      <c r="K264" s="71">
        <f>IF($B264="",0,$E264*IFERROR(INDEX(Productos!$G$5:$G$124,MATCH($B264,Productos!$A$5:$A$124,0)),0))</f>
        <v/>
      </c>
      <c r="L264" s="71">
        <f>IF($K264=0,0,$K264*Inicio!$C$25/365*Inicio!$C$22)</f>
        <v/>
      </c>
      <c r="M264" s="73">
        <f>IF($B264="","",IF(SUMIF($B$5:$B$304,$B264,$F$5:$F$304)=0,"",ROUND(SUMIF($B$5:$B$304,$B264,$E$5:$E$304)/(SUMIF($B$5:$B$304,$B264,$F$5:$F$304)/Inicio!$C$22),0)))</f>
        <v/>
      </c>
      <c r="N264" s="74">
        <f>IF($B264="","",IF(AND($E264&lt;=0,$F264&gt;0),"QUIEBRE",IF(AND($F264=0,$E264&gt;0),"SIN ROTACIÓN",IF($J264="","",IF($J264&lt;Inicio!$C$23,"RIESGO DE QUIEBRE",IF($J264&gt;Inicio!$C$24*1.5,"EXCESO","SANO"))))))</f>
        <v/>
      </c>
      <c r="O264" s="74">
        <f>IF($M264="","",IF($J264="","",IF($J264&gt;2*$M264,"ENVIAR a otra tienda",IF($J264&lt;0.5*$M264,"PEDIR traslado","—"))))</f>
        <v/>
      </c>
    </row>
    <row r="265" ht="15" customHeight="1" s="47">
      <c r="A265" s="64" t="n"/>
      <c r="B265" s="64" t="n"/>
      <c r="C265" s="59">
        <f>IFERROR(INDEX(Productos!$B$5:$B$124,MATCH($B265,Productos!$A$5:$A$124,0)),"")</f>
        <v/>
      </c>
      <c r="D265" s="59">
        <f>IFERROR(INDEX(Productos!$D$5:$D$124,MATCH($B265,Productos!$A$5:$A$124,0)),"")</f>
        <v/>
      </c>
      <c r="E265" s="64" t="n"/>
      <c r="F265" s="70">
        <f>IF($B265="",0,SUMIFS(Ventas!$F$5:$F$504,Ventas!$B$5:$B$504,$A265,Ventas!$C$5:$C$504,$B265))</f>
        <v/>
      </c>
      <c r="G265" s="71">
        <f>IF($B265="",0,SUMIFS(Ventas!$L$5:$L$504,Ventas!$B$5:$B$504,$A265,Ventas!$C$5:$C$504,$B265))</f>
        <v/>
      </c>
      <c r="H265" s="71">
        <f>IF($B265="",0,SUMIFS(Ventas!$P$5:$P$504,Ventas!$B$5:$B$504,$A265,Ventas!$C$5:$C$504,$B265))</f>
        <v/>
      </c>
      <c r="I265" s="72">
        <f>IF($F265=0,0,$F265/Inicio!$C$22)</f>
        <v/>
      </c>
      <c r="J265" s="73">
        <f>IF($I265=0,"",ROUND($E265/$I265,0))</f>
        <v/>
      </c>
      <c r="K265" s="71">
        <f>IF($B265="",0,$E265*IFERROR(INDEX(Productos!$G$5:$G$124,MATCH($B265,Productos!$A$5:$A$124,0)),0))</f>
        <v/>
      </c>
      <c r="L265" s="71">
        <f>IF($K265=0,0,$K265*Inicio!$C$25/365*Inicio!$C$22)</f>
        <v/>
      </c>
      <c r="M265" s="73">
        <f>IF($B265="","",IF(SUMIF($B$5:$B$304,$B265,$F$5:$F$304)=0,"",ROUND(SUMIF($B$5:$B$304,$B265,$E$5:$E$304)/(SUMIF($B$5:$B$304,$B265,$F$5:$F$304)/Inicio!$C$22),0)))</f>
        <v/>
      </c>
      <c r="N265" s="74">
        <f>IF($B265="","",IF(AND($E265&lt;=0,$F265&gt;0),"QUIEBRE",IF(AND($F265=0,$E265&gt;0),"SIN ROTACIÓN",IF($J265="","",IF($J265&lt;Inicio!$C$23,"RIESGO DE QUIEBRE",IF($J265&gt;Inicio!$C$24*1.5,"EXCESO","SANO"))))))</f>
        <v/>
      </c>
      <c r="O265" s="74">
        <f>IF($M265="","",IF($J265="","",IF($J265&gt;2*$M265,"ENVIAR a otra tienda",IF($J265&lt;0.5*$M265,"PEDIR traslado","—"))))</f>
        <v/>
      </c>
    </row>
    <row r="266" ht="15" customHeight="1" s="47">
      <c r="A266" s="64" t="n"/>
      <c r="B266" s="64" t="n"/>
      <c r="C266" s="59">
        <f>IFERROR(INDEX(Productos!$B$5:$B$124,MATCH($B266,Productos!$A$5:$A$124,0)),"")</f>
        <v/>
      </c>
      <c r="D266" s="59">
        <f>IFERROR(INDEX(Productos!$D$5:$D$124,MATCH($B266,Productos!$A$5:$A$124,0)),"")</f>
        <v/>
      </c>
      <c r="E266" s="64" t="n"/>
      <c r="F266" s="70">
        <f>IF($B266="",0,SUMIFS(Ventas!$F$5:$F$504,Ventas!$B$5:$B$504,$A266,Ventas!$C$5:$C$504,$B266))</f>
        <v/>
      </c>
      <c r="G266" s="71">
        <f>IF($B266="",0,SUMIFS(Ventas!$L$5:$L$504,Ventas!$B$5:$B$504,$A266,Ventas!$C$5:$C$504,$B266))</f>
        <v/>
      </c>
      <c r="H266" s="71">
        <f>IF($B266="",0,SUMIFS(Ventas!$P$5:$P$504,Ventas!$B$5:$B$504,$A266,Ventas!$C$5:$C$504,$B266))</f>
        <v/>
      </c>
      <c r="I266" s="72">
        <f>IF($F266=0,0,$F266/Inicio!$C$22)</f>
        <v/>
      </c>
      <c r="J266" s="73">
        <f>IF($I266=0,"",ROUND($E266/$I266,0))</f>
        <v/>
      </c>
      <c r="K266" s="71">
        <f>IF($B266="",0,$E266*IFERROR(INDEX(Productos!$G$5:$G$124,MATCH($B266,Productos!$A$5:$A$124,0)),0))</f>
        <v/>
      </c>
      <c r="L266" s="71">
        <f>IF($K266=0,0,$K266*Inicio!$C$25/365*Inicio!$C$22)</f>
        <v/>
      </c>
      <c r="M266" s="73">
        <f>IF($B266="","",IF(SUMIF($B$5:$B$304,$B266,$F$5:$F$304)=0,"",ROUND(SUMIF($B$5:$B$304,$B266,$E$5:$E$304)/(SUMIF($B$5:$B$304,$B266,$F$5:$F$304)/Inicio!$C$22),0)))</f>
        <v/>
      </c>
      <c r="N266" s="74">
        <f>IF($B266="","",IF(AND($E266&lt;=0,$F266&gt;0),"QUIEBRE",IF(AND($F266=0,$E266&gt;0),"SIN ROTACIÓN",IF($J266="","",IF($J266&lt;Inicio!$C$23,"RIESGO DE QUIEBRE",IF($J266&gt;Inicio!$C$24*1.5,"EXCESO","SANO"))))))</f>
        <v/>
      </c>
      <c r="O266" s="74">
        <f>IF($M266="","",IF($J266="","",IF($J266&gt;2*$M266,"ENVIAR a otra tienda",IF($J266&lt;0.5*$M266,"PEDIR traslado","—"))))</f>
        <v/>
      </c>
    </row>
    <row r="267" ht="15" customHeight="1" s="47">
      <c r="A267" s="64" t="n"/>
      <c r="B267" s="64" t="n"/>
      <c r="C267" s="59">
        <f>IFERROR(INDEX(Productos!$B$5:$B$124,MATCH($B267,Productos!$A$5:$A$124,0)),"")</f>
        <v/>
      </c>
      <c r="D267" s="59">
        <f>IFERROR(INDEX(Productos!$D$5:$D$124,MATCH($B267,Productos!$A$5:$A$124,0)),"")</f>
        <v/>
      </c>
      <c r="E267" s="64" t="n"/>
      <c r="F267" s="70">
        <f>IF($B267="",0,SUMIFS(Ventas!$F$5:$F$504,Ventas!$B$5:$B$504,$A267,Ventas!$C$5:$C$504,$B267))</f>
        <v/>
      </c>
      <c r="G267" s="71">
        <f>IF($B267="",0,SUMIFS(Ventas!$L$5:$L$504,Ventas!$B$5:$B$504,$A267,Ventas!$C$5:$C$504,$B267))</f>
        <v/>
      </c>
      <c r="H267" s="71">
        <f>IF($B267="",0,SUMIFS(Ventas!$P$5:$P$504,Ventas!$B$5:$B$504,$A267,Ventas!$C$5:$C$504,$B267))</f>
        <v/>
      </c>
      <c r="I267" s="72">
        <f>IF($F267=0,0,$F267/Inicio!$C$22)</f>
        <v/>
      </c>
      <c r="J267" s="73">
        <f>IF($I267=0,"",ROUND($E267/$I267,0))</f>
        <v/>
      </c>
      <c r="K267" s="71">
        <f>IF($B267="",0,$E267*IFERROR(INDEX(Productos!$G$5:$G$124,MATCH($B267,Productos!$A$5:$A$124,0)),0))</f>
        <v/>
      </c>
      <c r="L267" s="71">
        <f>IF($K267=0,0,$K267*Inicio!$C$25/365*Inicio!$C$22)</f>
        <v/>
      </c>
      <c r="M267" s="73">
        <f>IF($B267="","",IF(SUMIF($B$5:$B$304,$B267,$F$5:$F$304)=0,"",ROUND(SUMIF($B$5:$B$304,$B267,$E$5:$E$304)/(SUMIF($B$5:$B$304,$B267,$F$5:$F$304)/Inicio!$C$22),0)))</f>
        <v/>
      </c>
      <c r="N267" s="74">
        <f>IF($B267="","",IF(AND($E267&lt;=0,$F267&gt;0),"QUIEBRE",IF(AND($F267=0,$E267&gt;0),"SIN ROTACIÓN",IF($J267="","",IF($J267&lt;Inicio!$C$23,"RIESGO DE QUIEBRE",IF($J267&gt;Inicio!$C$24*1.5,"EXCESO","SANO"))))))</f>
        <v/>
      </c>
      <c r="O267" s="74">
        <f>IF($M267="","",IF($J267="","",IF($J267&gt;2*$M267,"ENVIAR a otra tienda",IF($J267&lt;0.5*$M267,"PEDIR traslado","—"))))</f>
        <v/>
      </c>
    </row>
    <row r="268" ht="15" customHeight="1" s="47">
      <c r="A268" s="64" t="n"/>
      <c r="B268" s="64" t="n"/>
      <c r="C268" s="59">
        <f>IFERROR(INDEX(Productos!$B$5:$B$124,MATCH($B268,Productos!$A$5:$A$124,0)),"")</f>
        <v/>
      </c>
      <c r="D268" s="59">
        <f>IFERROR(INDEX(Productos!$D$5:$D$124,MATCH($B268,Productos!$A$5:$A$124,0)),"")</f>
        <v/>
      </c>
      <c r="E268" s="64" t="n"/>
      <c r="F268" s="70">
        <f>IF($B268="",0,SUMIFS(Ventas!$F$5:$F$504,Ventas!$B$5:$B$504,$A268,Ventas!$C$5:$C$504,$B268))</f>
        <v/>
      </c>
      <c r="G268" s="71">
        <f>IF($B268="",0,SUMIFS(Ventas!$L$5:$L$504,Ventas!$B$5:$B$504,$A268,Ventas!$C$5:$C$504,$B268))</f>
        <v/>
      </c>
      <c r="H268" s="71">
        <f>IF($B268="",0,SUMIFS(Ventas!$P$5:$P$504,Ventas!$B$5:$B$504,$A268,Ventas!$C$5:$C$504,$B268))</f>
        <v/>
      </c>
      <c r="I268" s="72">
        <f>IF($F268=0,0,$F268/Inicio!$C$22)</f>
        <v/>
      </c>
      <c r="J268" s="73">
        <f>IF($I268=0,"",ROUND($E268/$I268,0))</f>
        <v/>
      </c>
      <c r="K268" s="71">
        <f>IF($B268="",0,$E268*IFERROR(INDEX(Productos!$G$5:$G$124,MATCH($B268,Productos!$A$5:$A$124,0)),0))</f>
        <v/>
      </c>
      <c r="L268" s="71">
        <f>IF($K268=0,0,$K268*Inicio!$C$25/365*Inicio!$C$22)</f>
        <v/>
      </c>
      <c r="M268" s="73">
        <f>IF($B268="","",IF(SUMIF($B$5:$B$304,$B268,$F$5:$F$304)=0,"",ROUND(SUMIF($B$5:$B$304,$B268,$E$5:$E$304)/(SUMIF($B$5:$B$304,$B268,$F$5:$F$304)/Inicio!$C$22),0)))</f>
        <v/>
      </c>
      <c r="N268" s="74">
        <f>IF($B268="","",IF(AND($E268&lt;=0,$F268&gt;0),"QUIEBRE",IF(AND($F268=0,$E268&gt;0),"SIN ROTACIÓN",IF($J268="","",IF($J268&lt;Inicio!$C$23,"RIESGO DE QUIEBRE",IF($J268&gt;Inicio!$C$24*1.5,"EXCESO","SANO"))))))</f>
        <v/>
      </c>
      <c r="O268" s="74">
        <f>IF($M268="","",IF($J268="","",IF($J268&gt;2*$M268,"ENVIAR a otra tienda",IF($J268&lt;0.5*$M268,"PEDIR traslado","—"))))</f>
        <v/>
      </c>
    </row>
    <row r="269" ht="15" customHeight="1" s="47">
      <c r="A269" s="64" t="n"/>
      <c r="B269" s="64" t="n"/>
      <c r="C269" s="59">
        <f>IFERROR(INDEX(Productos!$B$5:$B$124,MATCH($B269,Productos!$A$5:$A$124,0)),"")</f>
        <v/>
      </c>
      <c r="D269" s="59">
        <f>IFERROR(INDEX(Productos!$D$5:$D$124,MATCH($B269,Productos!$A$5:$A$124,0)),"")</f>
        <v/>
      </c>
      <c r="E269" s="64" t="n"/>
      <c r="F269" s="70">
        <f>IF($B269="",0,SUMIFS(Ventas!$F$5:$F$504,Ventas!$B$5:$B$504,$A269,Ventas!$C$5:$C$504,$B269))</f>
        <v/>
      </c>
      <c r="G269" s="71">
        <f>IF($B269="",0,SUMIFS(Ventas!$L$5:$L$504,Ventas!$B$5:$B$504,$A269,Ventas!$C$5:$C$504,$B269))</f>
        <v/>
      </c>
      <c r="H269" s="71">
        <f>IF($B269="",0,SUMIFS(Ventas!$P$5:$P$504,Ventas!$B$5:$B$504,$A269,Ventas!$C$5:$C$504,$B269))</f>
        <v/>
      </c>
      <c r="I269" s="72">
        <f>IF($F269=0,0,$F269/Inicio!$C$22)</f>
        <v/>
      </c>
      <c r="J269" s="73">
        <f>IF($I269=0,"",ROUND($E269/$I269,0))</f>
        <v/>
      </c>
      <c r="K269" s="71">
        <f>IF($B269="",0,$E269*IFERROR(INDEX(Productos!$G$5:$G$124,MATCH($B269,Productos!$A$5:$A$124,0)),0))</f>
        <v/>
      </c>
      <c r="L269" s="71">
        <f>IF($K269=0,0,$K269*Inicio!$C$25/365*Inicio!$C$22)</f>
        <v/>
      </c>
      <c r="M269" s="73">
        <f>IF($B269="","",IF(SUMIF($B$5:$B$304,$B269,$F$5:$F$304)=0,"",ROUND(SUMIF($B$5:$B$304,$B269,$E$5:$E$304)/(SUMIF($B$5:$B$304,$B269,$F$5:$F$304)/Inicio!$C$22),0)))</f>
        <v/>
      </c>
      <c r="N269" s="74">
        <f>IF($B269="","",IF(AND($E269&lt;=0,$F269&gt;0),"QUIEBRE",IF(AND($F269=0,$E269&gt;0),"SIN ROTACIÓN",IF($J269="","",IF($J269&lt;Inicio!$C$23,"RIESGO DE QUIEBRE",IF($J269&gt;Inicio!$C$24*1.5,"EXCESO","SANO"))))))</f>
        <v/>
      </c>
      <c r="O269" s="74">
        <f>IF($M269="","",IF($J269="","",IF($J269&gt;2*$M269,"ENVIAR a otra tienda",IF($J269&lt;0.5*$M269,"PEDIR traslado","—"))))</f>
        <v/>
      </c>
    </row>
    <row r="270" ht="15" customHeight="1" s="47">
      <c r="A270" s="64" t="n"/>
      <c r="B270" s="64" t="n"/>
      <c r="C270" s="59">
        <f>IFERROR(INDEX(Productos!$B$5:$B$124,MATCH($B270,Productos!$A$5:$A$124,0)),"")</f>
        <v/>
      </c>
      <c r="D270" s="59">
        <f>IFERROR(INDEX(Productos!$D$5:$D$124,MATCH($B270,Productos!$A$5:$A$124,0)),"")</f>
        <v/>
      </c>
      <c r="E270" s="64" t="n"/>
      <c r="F270" s="70">
        <f>IF($B270="",0,SUMIFS(Ventas!$F$5:$F$504,Ventas!$B$5:$B$504,$A270,Ventas!$C$5:$C$504,$B270))</f>
        <v/>
      </c>
      <c r="G270" s="71">
        <f>IF($B270="",0,SUMIFS(Ventas!$L$5:$L$504,Ventas!$B$5:$B$504,$A270,Ventas!$C$5:$C$504,$B270))</f>
        <v/>
      </c>
      <c r="H270" s="71">
        <f>IF($B270="",0,SUMIFS(Ventas!$P$5:$P$504,Ventas!$B$5:$B$504,$A270,Ventas!$C$5:$C$504,$B270))</f>
        <v/>
      </c>
      <c r="I270" s="72">
        <f>IF($F270=0,0,$F270/Inicio!$C$22)</f>
        <v/>
      </c>
      <c r="J270" s="73">
        <f>IF($I270=0,"",ROUND($E270/$I270,0))</f>
        <v/>
      </c>
      <c r="K270" s="71">
        <f>IF($B270="",0,$E270*IFERROR(INDEX(Productos!$G$5:$G$124,MATCH($B270,Productos!$A$5:$A$124,0)),0))</f>
        <v/>
      </c>
      <c r="L270" s="71">
        <f>IF($K270=0,0,$K270*Inicio!$C$25/365*Inicio!$C$22)</f>
        <v/>
      </c>
      <c r="M270" s="73">
        <f>IF($B270="","",IF(SUMIF($B$5:$B$304,$B270,$F$5:$F$304)=0,"",ROUND(SUMIF($B$5:$B$304,$B270,$E$5:$E$304)/(SUMIF($B$5:$B$304,$B270,$F$5:$F$304)/Inicio!$C$22),0)))</f>
        <v/>
      </c>
      <c r="N270" s="74">
        <f>IF($B270="","",IF(AND($E270&lt;=0,$F270&gt;0),"QUIEBRE",IF(AND($F270=0,$E270&gt;0),"SIN ROTACIÓN",IF($J270="","",IF($J270&lt;Inicio!$C$23,"RIESGO DE QUIEBRE",IF($J270&gt;Inicio!$C$24*1.5,"EXCESO","SANO"))))))</f>
        <v/>
      </c>
      <c r="O270" s="74">
        <f>IF($M270="","",IF($J270="","",IF($J270&gt;2*$M270,"ENVIAR a otra tienda",IF($J270&lt;0.5*$M270,"PEDIR traslado","—"))))</f>
        <v/>
      </c>
    </row>
    <row r="271" ht="15" customHeight="1" s="47">
      <c r="A271" s="64" t="n"/>
      <c r="B271" s="64" t="n"/>
      <c r="C271" s="59">
        <f>IFERROR(INDEX(Productos!$B$5:$B$124,MATCH($B271,Productos!$A$5:$A$124,0)),"")</f>
        <v/>
      </c>
      <c r="D271" s="59">
        <f>IFERROR(INDEX(Productos!$D$5:$D$124,MATCH($B271,Productos!$A$5:$A$124,0)),"")</f>
        <v/>
      </c>
      <c r="E271" s="64" t="n"/>
      <c r="F271" s="70">
        <f>IF($B271="",0,SUMIFS(Ventas!$F$5:$F$504,Ventas!$B$5:$B$504,$A271,Ventas!$C$5:$C$504,$B271))</f>
        <v/>
      </c>
      <c r="G271" s="71">
        <f>IF($B271="",0,SUMIFS(Ventas!$L$5:$L$504,Ventas!$B$5:$B$504,$A271,Ventas!$C$5:$C$504,$B271))</f>
        <v/>
      </c>
      <c r="H271" s="71">
        <f>IF($B271="",0,SUMIFS(Ventas!$P$5:$P$504,Ventas!$B$5:$B$504,$A271,Ventas!$C$5:$C$504,$B271))</f>
        <v/>
      </c>
      <c r="I271" s="72">
        <f>IF($F271=0,0,$F271/Inicio!$C$22)</f>
        <v/>
      </c>
      <c r="J271" s="73">
        <f>IF($I271=0,"",ROUND($E271/$I271,0))</f>
        <v/>
      </c>
      <c r="K271" s="71">
        <f>IF($B271="",0,$E271*IFERROR(INDEX(Productos!$G$5:$G$124,MATCH($B271,Productos!$A$5:$A$124,0)),0))</f>
        <v/>
      </c>
      <c r="L271" s="71">
        <f>IF($K271=0,0,$K271*Inicio!$C$25/365*Inicio!$C$22)</f>
        <v/>
      </c>
      <c r="M271" s="73">
        <f>IF($B271="","",IF(SUMIF($B$5:$B$304,$B271,$F$5:$F$304)=0,"",ROUND(SUMIF($B$5:$B$304,$B271,$E$5:$E$304)/(SUMIF($B$5:$B$304,$B271,$F$5:$F$304)/Inicio!$C$22),0)))</f>
        <v/>
      </c>
      <c r="N271" s="74">
        <f>IF($B271="","",IF(AND($E271&lt;=0,$F271&gt;0),"QUIEBRE",IF(AND($F271=0,$E271&gt;0),"SIN ROTACIÓN",IF($J271="","",IF($J271&lt;Inicio!$C$23,"RIESGO DE QUIEBRE",IF($J271&gt;Inicio!$C$24*1.5,"EXCESO","SANO"))))))</f>
        <v/>
      </c>
      <c r="O271" s="74">
        <f>IF($M271="","",IF($J271="","",IF($J271&gt;2*$M271,"ENVIAR a otra tienda",IF($J271&lt;0.5*$M271,"PEDIR traslado","—"))))</f>
        <v/>
      </c>
    </row>
    <row r="272" ht="15" customHeight="1" s="47">
      <c r="A272" s="64" t="n"/>
      <c r="B272" s="64" t="n"/>
      <c r="C272" s="59">
        <f>IFERROR(INDEX(Productos!$B$5:$B$124,MATCH($B272,Productos!$A$5:$A$124,0)),"")</f>
        <v/>
      </c>
      <c r="D272" s="59">
        <f>IFERROR(INDEX(Productos!$D$5:$D$124,MATCH($B272,Productos!$A$5:$A$124,0)),"")</f>
        <v/>
      </c>
      <c r="E272" s="64" t="n"/>
      <c r="F272" s="70">
        <f>IF($B272="",0,SUMIFS(Ventas!$F$5:$F$504,Ventas!$B$5:$B$504,$A272,Ventas!$C$5:$C$504,$B272))</f>
        <v/>
      </c>
      <c r="G272" s="71">
        <f>IF($B272="",0,SUMIFS(Ventas!$L$5:$L$504,Ventas!$B$5:$B$504,$A272,Ventas!$C$5:$C$504,$B272))</f>
        <v/>
      </c>
      <c r="H272" s="71">
        <f>IF($B272="",0,SUMIFS(Ventas!$P$5:$P$504,Ventas!$B$5:$B$504,$A272,Ventas!$C$5:$C$504,$B272))</f>
        <v/>
      </c>
      <c r="I272" s="72">
        <f>IF($F272=0,0,$F272/Inicio!$C$22)</f>
        <v/>
      </c>
      <c r="J272" s="73">
        <f>IF($I272=0,"",ROUND($E272/$I272,0))</f>
        <v/>
      </c>
      <c r="K272" s="71">
        <f>IF($B272="",0,$E272*IFERROR(INDEX(Productos!$G$5:$G$124,MATCH($B272,Productos!$A$5:$A$124,0)),0))</f>
        <v/>
      </c>
      <c r="L272" s="71">
        <f>IF($K272=0,0,$K272*Inicio!$C$25/365*Inicio!$C$22)</f>
        <v/>
      </c>
      <c r="M272" s="73">
        <f>IF($B272="","",IF(SUMIF($B$5:$B$304,$B272,$F$5:$F$304)=0,"",ROUND(SUMIF($B$5:$B$304,$B272,$E$5:$E$304)/(SUMIF($B$5:$B$304,$B272,$F$5:$F$304)/Inicio!$C$22),0)))</f>
        <v/>
      </c>
      <c r="N272" s="74">
        <f>IF($B272="","",IF(AND($E272&lt;=0,$F272&gt;0),"QUIEBRE",IF(AND($F272=0,$E272&gt;0),"SIN ROTACIÓN",IF($J272="","",IF($J272&lt;Inicio!$C$23,"RIESGO DE QUIEBRE",IF($J272&gt;Inicio!$C$24*1.5,"EXCESO","SANO"))))))</f>
        <v/>
      </c>
      <c r="O272" s="74">
        <f>IF($M272="","",IF($J272="","",IF($J272&gt;2*$M272,"ENVIAR a otra tienda",IF($J272&lt;0.5*$M272,"PEDIR traslado","—"))))</f>
        <v/>
      </c>
    </row>
    <row r="273" ht="15" customHeight="1" s="47">
      <c r="A273" s="64" t="n"/>
      <c r="B273" s="64" t="n"/>
      <c r="C273" s="59">
        <f>IFERROR(INDEX(Productos!$B$5:$B$124,MATCH($B273,Productos!$A$5:$A$124,0)),"")</f>
        <v/>
      </c>
      <c r="D273" s="59">
        <f>IFERROR(INDEX(Productos!$D$5:$D$124,MATCH($B273,Productos!$A$5:$A$124,0)),"")</f>
        <v/>
      </c>
      <c r="E273" s="64" t="n"/>
      <c r="F273" s="70">
        <f>IF($B273="",0,SUMIFS(Ventas!$F$5:$F$504,Ventas!$B$5:$B$504,$A273,Ventas!$C$5:$C$504,$B273))</f>
        <v/>
      </c>
      <c r="G273" s="71">
        <f>IF($B273="",0,SUMIFS(Ventas!$L$5:$L$504,Ventas!$B$5:$B$504,$A273,Ventas!$C$5:$C$504,$B273))</f>
        <v/>
      </c>
      <c r="H273" s="71">
        <f>IF($B273="",0,SUMIFS(Ventas!$P$5:$P$504,Ventas!$B$5:$B$504,$A273,Ventas!$C$5:$C$504,$B273))</f>
        <v/>
      </c>
      <c r="I273" s="72">
        <f>IF($F273=0,0,$F273/Inicio!$C$22)</f>
        <v/>
      </c>
      <c r="J273" s="73">
        <f>IF($I273=0,"",ROUND($E273/$I273,0))</f>
        <v/>
      </c>
      <c r="K273" s="71">
        <f>IF($B273="",0,$E273*IFERROR(INDEX(Productos!$G$5:$G$124,MATCH($B273,Productos!$A$5:$A$124,0)),0))</f>
        <v/>
      </c>
      <c r="L273" s="71">
        <f>IF($K273=0,0,$K273*Inicio!$C$25/365*Inicio!$C$22)</f>
        <v/>
      </c>
      <c r="M273" s="73">
        <f>IF($B273="","",IF(SUMIF($B$5:$B$304,$B273,$F$5:$F$304)=0,"",ROUND(SUMIF($B$5:$B$304,$B273,$E$5:$E$304)/(SUMIF($B$5:$B$304,$B273,$F$5:$F$304)/Inicio!$C$22),0)))</f>
        <v/>
      </c>
      <c r="N273" s="74">
        <f>IF($B273="","",IF(AND($E273&lt;=0,$F273&gt;0),"QUIEBRE",IF(AND($F273=0,$E273&gt;0),"SIN ROTACIÓN",IF($J273="","",IF($J273&lt;Inicio!$C$23,"RIESGO DE QUIEBRE",IF($J273&gt;Inicio!$C$24*1.5,"EXCESO","SANO"))))))</f>
        <v/>
      </c>
      <c r="O273" s="74">
        <f>IF($M273="","",IF($J273="","",IF($J273&gt;2*$M273,"ENVIAR a otra tienda",IF($J273&lt;0.5*$M273,"PEDIR traslado","—"))))</f>
        <v/>
      </c>
    </row>
    <row r="274" ht="15" customHeight="1" s="47">
      <c r="A274" s="64" t="n"/>
      <c r="B274" s="64" t="n"/>
      <c r="C274" s="59">
        <f>IFERROR(INDEX(Productos!$B$5:$B$124,MATCH($B274,Productos!$A$5:$A$124,0)),"")</f>
        <v/>
      </c>
      <c r="D274" s="59">
        <f>IFERROR(INDEX(Productos!$D$5:$D$124,MATCH($B274,Productos!$A$5:$A$124,0)),"")</f>
        <v/>
      </c>
      <c r="E274" s="64" t="n"/>
      <c r="F274" s="70">
        <f>IF($B274="",0,SUMIFS(Ventas!$F$5:$F$504,Ventas!$B$5:$B$504,$A274,Ventas!$C$5:$C$504,$B274))</f>
        <v/>
      </c>
      <c r="G274" s="71">
        <f>IF($B274="",0,SUMIFS(Ventas!$L$5:$L$504,Ventas!$B$5:$B$504,$A274,Ventas!$C$5:$C$504,$B274))</f>
        <v/>
      </c>
      <c r="H274" s="71">
        <f>IF($B274="",0,SUMIFS(Ventas!$P$5:$P$504,Ventas!$B$5:$B$504,$A274,Ventas!$C$5:$C$504,$B274))</f>
        <v/>
      </c>
      <c r="I274" s="72">
        <f>IF($F274=0,0,$F274/Inicio!$C$22)</f>
        <v/>
      </c>
      <c r="J274" s="73">
        <f>IF($I274=0,"",ROUND($E274/$I274,0))</f>
        <v/>
      </c>
      <c r="K274" s="71">
        <f>IF($B274="",0,$E274*IFERROR(INDEX(Productos!$G$5:$G$124,MATCH($B274,Productos!$A$5:$A$124,0)),0))</f>
        <v/>
      </c>
      <c r="L274" s="71">
        <f>IF($K274=0,0,$K274*Inicio!$C$25/365*Inicio!$C$22)</f>
        <v/>
      </c>
      <c r="M274" s="73">
        <f>IF($B274="","",IF(SUMIF($B$5:$B$304,$B274,$F$5:$F$304)=0,"",ROUND(SUMIF($B$5:$B$304,$B274,$E$5:$E$304)/(SUMIF($B$5:$B$304,$B274,$F$5:$F$304)/Inicio!$C$22),0)))</f>
        <v/>
      </c>
      <c r="N274" s="74">
        <f>IF($B274="","",IF(AND($E274&lt;=0,$F274&gt;0),"QUIEBRE",IF(AND($F274=0,$E274&gt;0),"SIN ROTACIÓN",IF($J274="","",IF($J274&lt;Inicio!$C$23,"RIESGO DE QUIEBRE",IF($J274&gt;Inicio!$C$24*1.5,"EXCESO","SANO"))))))</f>
        <v/>
      </c>
      <c r="O274" s="74">
        <f>IF($M274="","",IF($J274="","",IF($J274&gt;2*$M274,"ENVIAR a otra tienda",IF($J274&lt;0.5*$M274,"PEDIR traslado","—"))))</f>
        <v/>
      </c>
    </row>
    <row r="275" ht="15" customHeight="1" s="47">
      <c r="A275" s="64" t="n"/>
      <c r="B275" s="64" t="n"/>
      <c r="C275" s="59">
        <f>IFERROR(INDEX(Productos!$B$5:$B$124,MATCH($B275,Productos!$A$5:$A$124,0)),"")</f>
        <v/>
      </c>
      <c r="D275" s="59">
        <f>IFERROR(INDEX(Productos!$D$5:$D$124,MATCH($B275,Productos!$A$5:$A$124,0)),"")</f>
        <v/>
      </c>
      <c r="E275" s="64" t="n"/>
      <c r="F275" s="70">
        <f>IF($B275="",0,SUMIFS(Ventas!$F$5:$F$504,Ventas!$B$5:$B$504,$A275,Ventas!$C$5:$C$504,$B275))</f>
        <v/>
      </c>
      <c r="G275" s="71">
        <f>IF($B275="",0,SUMIFS(Ventas!$L$5:$L$504,Ventas!$B$5:$B$504,$A275,Ventas!$C$5:$C$504,$B275))</f>
        <v/>
      </c>
      <c r="H275" s="71">
        <f>IF($B275="",0,SUMIFS(Ventas!$P$5:$P$504,Ventas!$B$5:$B$504,$A275,Ventas!$C$5:$C$504,$B275))</f>
        <v/>
      </c>
      <c r="I275" s="72">
        <f>IF($F275=0,0,$F275/Inicio!$C$22)</f>
        <v/>
      </c>
      <c r="J275" s="73">
        <f>IF($I275=0,"",ROUND($E275/$I275,0))</f>
        <v/>
      </c>
      <c r="K275" s="71">
        <f>IF($B275="",0,$E275*IFERROR(INDEX(Productos!$G$5:$G$124,MATCH($B275,Productos!$A$5:$A$124,0)),0))</f>
        <v/>
      </c>
      <c r="L275" s="71">
        <f>IF($K275=0,0,$K275*Inicio!$C$25/365*Inicio!$C$22)</f>
        <v/>
      </c>
      <c r="M275" s="73">
        <f>IF($B275="","",IF(SUMIF($B$5:$B$304,$B275,$F$5:$F$304)=0,"",ROUND(SUMIF($B$5:$B$304,$B275,$E$5:$E$304)/(SUMIF($B$5:$B$304,$B275,$F$5:$F$304)/Inicio!$C$22),0)))</f>
        <v/>
      </c>
      <c r="N275" s="74">
        <f>IF($B275="","",IF(AND($E275&lt;=0,$F275&gt;0),"QUIEBRE",IF(AND($F275=0,$E275&gt;0),"SIN ROTACIÓN",IF($J275="","",IF($J275&lt;Inicio!$C$23,"RIESGO DE QUIEBRE",IF($J275&gt;Inicio!$C$24*1.5,"EXCESO","SANO"))))))</f>
        <v/>
      </c>
      <c r="O275" s="74">
        <f>IF($M275="","",IF($J275="","",IF($J275&gt;2*$M275,"ENVIAR a otra tienda",IF($J275&lt;0.5*$M275,"PEDIR traslado","—"))))</f>
        <v/>
      </c>
    </row>
    <row r="276" ht="15" customHeight="1" s="47">
      <c r="A276" s="64" t="n"/>
      <c r="B276" s="64" t="n"/>
      <c r="C276" s="59">
        <f>IFERROR(INDEX(Productos!$B$5:$B$124,MATCH($B276,Productos!$A$5:$A$124,0)),"")</f>
        <v/>
      </c>
      <c r="D276" s="59">
        <f>IFERROR(INDEX(Productos!$D$5:$D$124,MATCH($B276,Productos!$A$5:$A$124,0)),"")</f>
        <v/>
      </c>
      <c r="E276" s="64" t="n"/>
      <c r="F276" s="70">
        <f>IF($B276="",0,SUMIFS(Ventas!$F$5:$F$504,Ventas!$B$5:$B$504,$A276,Ventas!$C$5:$C$504,$B276))</f>
        <v/>
      </c>
      <c r="G276" s="71">
        <f>IF($B276="",0,SUMIFS(Ventas!$L$5:$L$504,Ventas!$B$5:$B$504,$A276,Ventas!$C$5:$C$504,$B276))</f>
        <v/>
      </c>
      <c r="H276" s="71">
        <f>IF($B276="",0,SUMIFS(Ventas!$P$5:$P$504,Ventas!$B$5:$B$504,$A276,Ventas!$C$5:$C$504,$B276))</f>
        <v/>
      </c>
      <c r="I276" s="72">
        <f>IF($F276=0,0,$F276/Inicio!$C$22)</f>
        <v/>
      </c>
      <c r="J276" s="73">
        <f>IF($I276=0,"",ROUND($E276/$I276,0))</f>
        <v/>
      </c>
      <c r="K276" s="71">
        <f>IF($B276="",0,$E276*IFERROR(INDEX(Productos!$G$5:$G$124,MATCH($B276,Productos!$A$5:$A$124,0)),0))</f>
        <v/>
      </c>
      <c r="L276" s="71">
        <f>IF($K276=0,0,$K276*Inicio!$C$25/365*Inicio!$C$22)</f>
        <v/>
      </c>
      <c r="M276" s="73">
        <f>IF($B276="","",IF(SUMIF($B$5:$B$304,$B276,$F$5:$F$304)=0,"",ROUND(SUMIF($B$5:$B$304,$B276,$E$5:$E$304)/(SUMIF($B$5:$B$304,$B276,$F$5:$F$304)/Inicio!$C$22),0)))</f>
        <v/>
      </c>
      <c r="N276" s="74">
        <f>IF($B276="","",IF(AND($E276&lt;=0,$F276&gt;0),"QUIEBRE",IF(AND($F276=0,$E276&gt;0),"SIN ROTACIÓN",IF($J276="","",IF($J276&lt;Inicio!$C$23,"RIESGO DE QUIEBRE",IF($J276&gt;Inicio!$C$24*1.5,"EXCESO","SANO"))))))</f>
        <v/>
      </c>
      <c r="O276" s="74">
        <f>IF($M276="","",IF($J276="","",IF($J276&gt;2*$M276,"ENVIAR a otra tienda",IF($J276&lt;0.5*$M276,"PEDIR traslado","—"))))</f>
        <v/>
      </c>
    </row>
    <row r="277" ht="15" customHeight="1" s="47">
      <c r="A277" s="64" t="n"/>
      <c r="B277" s="64" t="n"/>
      <c r="C277" s="59">
        <f>IFERROR(INDEX(Productos!$B$5:$B$124,MATCH($B277,Productos!$A$5:$A$124,0)),"")</f>
        <v/>
      </c>
      <c r="D277" s="59">
        <f>IFERROR(INDEX(Productos!$D$5:$D$124,MATCH($B277,Productos!$A$5:$A$124,0)),"")</f>
        <v/>
      </c>
      <c r="E277" s="64" t="n"/>
      <c r="F277" s="70">
        <f>IF($B277="",0,SUMIFS(Ventas!$F$5:$F$504,Ventas!$B$5:$B$504,$A277,Ventas!$C$5:$C$504,$B277))</f>
        <v/>
      </c>
      <c r="G277" s="71">
        <f>IF($B277="",0,SUMIFS(Ventas!$L$5:$L$504,Ventas!$B$5:$B$504,$A277,Ventas!$C$5:$C$504,$B277))</f>
        <v/>
      </c>
      <c r="H277" s="71">
        <f>IF($B277="",0,SUMIFS(Ventas!$P$5:$P$504,Ventas!$B$5:$B$504,$A277,Ventas!$C$5:$C$504,$B277))</f>
        <v/>
      </c>
      <c r="I277" s="72">
        <f>IF($F277=0,0,$F277/Inicio!$C$22)</f>
        <v/>
      </c>
      <c r="J277" s="73">
        <f>IF($I277=0,"",ROUND($E277/$I277,0))</f>
        <v/>
      </c>
      <c r="K277" s="71">
        <f>IF($B277="",0,$E277*IFERROR(INDEX(Productos!$G$5:$G$124,MATCH($B277,Productos!$A$5:$A$124,0)),0))</f>
        <v/>
      </c>
      <c r="L277" s="71">
        <f>IF($K277=0,0,$K277*Inicio!$C$25/365*Inicio!$C$22)</f>
        <v/>
      </c>
      <c r="M277" s="73">
        <f>IF($B277="","",IF(SUMIF($B$5:$B$304,$B277,$F$5:$F$304)=0,"",ROUND(SUMIF($B$5:$B$304,$B277,$E$5:$E$304)/(SUMIF($B$5:$B$304,$B277,$F$5:$F$304)/Inicio!$C$22),0)))</f>
        <v/>
      </c>
      <c r="N277" s="74">
        <f>IF($B277="","",IF(AND($E277&lt;=0,$F277&gt;0),"QUIEBRE",IF(AND($F277=0,$E277&gt;0),"SIN ROTACIÓN",IF($J277="","",IF($J277&lt;Inicio!$C$23,"RIESGO DE QUIEBRE",IF($J277&gt;Inicio!$C$24*1.5,"EXCESO","SANO"))))))</f>
        <v/>
      </c>
      <c r="O277" s="74">
        <f>IF($M277="","",IF($J277="","",IF($J277&gt;2*$M277,"ENVIAR a otra tienda",IF($J277&lt;0.5*$M277,"PEDIR traslado","—"))))</f>
        <v/>
      </c>
    </row>
    <row r="278" ht="15" customHeight="1" s="47">
      <c r="A278" s="64" t="n"/>
      <c r="B278" s="64" t="n"/>
      <c r="C278" s="59">
        <f>IFERROR(INDEX(Productos!$B$5:$B$124,MATCH($B278,Productos!$A$5:$A$124,0)),"")</f>
        <v/>
      </c>
      <c r="D278" s="59">
        <f>IFERROR(INDEX(Productos!$D$5:$D$124,MATCH($B278,Productos!$A$5:$A$124,0)),"")</f>
        <v/>
      </c>
      <c r="E278" s="64" t="n"/>
      <c r="F278" s="70">
        <f>IF($B278="",0,SUMIFS(Ventas!$F$5:$F$504,Ventas!$B$5:$B$504,$A278,Ventas!$C$5:$C$504,$B278))</f>
        <v/>
      </c>
      <c r="G278" s="71">
        <f>IF($B278="",0,SUMIFS(Ventas!$L$5:$L$504,Ventas!$B$5:$B$504,$A278,Ventas!$C$5:$C$504,$B278))</f>
        <v/>
      </c>
      <c r="H278" s="71">
        <f>IF($B278="",0,SUMIFS(Ventas!$P$5:$P$504,Ventas!$B$5:$B$504,$A278,Ventas!$C$5:$C$504,$B278))</f>
        <v/>
      </c>
      <c r="I278" s="72">
        <f>IF($F278=0,0,$F278/Inicio!$C$22)</f>
        <v/>
      </c>
      <c r="J278" s="73">
        <f>IF($I278=0,"",ROUND($E278/$I278,0))</f>
        <v/>
      </c>
      <c r="K278" s="71">
        <f>IF($B278="",0,$E278*IFERROR(INDEX(Productos!$G$5:$G$124,MATCH($B278,Productos!$A$5:$A$124,0)),0))</f>
        <v/>
      </c>
      <c r="L278" s="71">
        <f>IF($K278=0,0,$K278*Inicio!$C$25/365*Inicio!$C$22)</f>
        <v/>
      </c>
      <c r="M278" s="73">
        <f>IF($B278="","",IF(SUMIF($B$5:$B$304,$B278,$F$5:$F$304)=0,"",ROUND(SUMIF($B$5:$B$304,$B278,$E$5:$E$304)/(SUMIF($B$5:$B$304,$B278,$F$5:$F$304)/Inicio!$C$22),0)))</f>
        <v/>
      </c>
      <c r="N278" s="74">
        <f>IF($B278="","",IF(AND($E278&lt;=0,$F278&gt;0),"QUIEBRE",IF(AND($F278=0,$E278&gt;0),"SIN ROTACIÓN",IF($J278="","",IF($J278&lt;Inicio!$C$23,"RIESGO DE QUIEBRE",IF($J278&gt;Inicio!$C$24*1.5,"EXCESO","SANO"))))))</f>
        <v/>
      </c>
      <c r="O278" s="74">
        <f>IF($M278="","",IF($J278="","",IF($J278&gt;2*$M278,"ENVIAR a otra tienda",IF($J278&lt;0.5*$M278,"PEDIR traslado","—"))))</f>
        <v/>
      </c>
    </row>
    <row r="279" ht="15" customHeight="1" s="47">
      <c r="A279" s="64" t="n"/>
      <c r="B279" s="64" t="n"/>
      <c r="C279" s="59">
        <f>IFERROR(INDEX(Productos!$B$5:$B$124,MATCH($B279,Productos!$A$5:$A$124,0)),"")</f>
        <v/>
      </c>
      <c r="D279" s="59">
        <f>IFERROR(INDEX(Productos!$D$5:$D$124,MATCH($B279,Productos!$A$5:$A$124,0)),"")</f>
        <v/>
      </c>
      <c r="E279" s="64" t="n"/>
      <c r="F279" s="70">
        <f>IF($B279="",0,SUMIFS(Ventas!$F$5:$F$504,Ventas!$B$5:$B$504,$A279,Ventas!$C$5:$C$504,$B279))</f>
        <v/>
      </c>
      <c r="G279" s="71">
        <f>IF($B279="",0,SUMIFS(Ventas!$L$5:$L$504,Ventas!$B$5:$B$504,$A279,Ventas!$C$5:$C$504,$B279))</f>
        <v/>
      </c>
      <c r="H279" s="71">
        <f>IF($B279="",0,SUMIFS(Ventas!$P$5:$P$504,Ventas!$B$5:$B$504,$A279,Ventas!$C$5:$C$504,$B279))</f>
        <v/>
      </c>
      <c r="I279" s="72">
        <f>IF($F279=0,0,$F279/Inicio!$C$22)</f>
        <v/>
      </c>
      <c r="J279" s="73">
        <f>IF($I279=0,"",ROUND($E279/$I279,0))</f>
        <v/>
      </c>
      <c r="K279" s="71">
        <f>IF($B279="",0,$E279*IFERROR(INDEX(Productos!$G$5:$G$124,MATCH($B279,Productos!$A$5:$A$124,0)),0))</f>
        <v/>
      </c>
      <c r="L279" s="71">
        <f>IF($K279=0,0,$K279*Inicio!$C$25/365*Inicio!$C$22)</f>
        <v/>
      </c>
      <c r="M279" s="73">
        <f>IF($B279="","",IF(SUMIF($B$5:$B$304,$B279,$F$5:$F$304)=0,"",ROUND(SUMIF($B$5:$B$304,$B279,$E$5:$E$304)/(SUMIF($B$5:$B$304,$B279,$F$5:$F$304)/Inicio!$C$22),0)))</f>
        <v/>
      </c>
      <c r="N279" s="74">
        <f>IF($B279="","",IF(AND($E279&lt;=0,$F279&gt;0),"QUIEBRE",IF(AND($F279=0,$E279&gt;0),"SIN ROTACIÓN",IF($J279="","",IF($J279&lt;Inicio!$C$23,"RIESGO DE QUIEBRE",IF($J279&gt;Inicio!$C$24*1.5,"EXCESO","SANO"))))))</f>
        <v/>
      </c>
      <c r="O279" s="74">
        <f>IF($M279="","",IF($J279="","",IF($J279&gt;2*$M279,"ENVIAR a otra tienda",IF($J279&lt;0.5*$M279,"PEDIR traslado","—"))))</f>
        <v/>
      </c>
    </row>
    <row r="280" ht="15" customHeight="1" s="47">
      <c r="A280" s="64" t="n"/>
      <c r="B280" s="64" t="n"/>
      <c r="C280" s="59">
        <f>IFERROR(INDEX(Productos!$B$5:$B$124,MATCH($B280,Productos!$A$5:$A$124,0)),"")</f>
        <v/>
      </c>
      <c r="D280" s="59">
        <f>IFERROR(INDEX(Productos!$D$5:$D$124,MATCH($B280,Productos!$A$5:$A$124,0)),"")</f>
        <v/>
      </c>
      <c r="E280" s="64" t="n"/>
      <c r="F280" s="70">
        <f>IF($B280="",0,SUMIFS(Ventas!$F$5:$F$504,Ventas!$B$5:$B$504,$A280,Ventas!$C$5:$C$504,$B280))</f>
        <v/>
      </c>
      <c r="G280" s="71">
        <f>IF($B280="",0,SUMIFS(Ventas!$L$5:$L$504,Ventas!$B$5:$B$504,$A280,Ventas!$C$5:$C$504,$B280))</f>
        <v/>
      </c>
      <c r="H280" s="71">
        <f>IF($B280="",0,SUMIFS(Ventas!$P$5:$P$504,Ventas!$B$5:$B$504,$A280,Ventas!$C$5:$C$504,$B280))</f>
        <v/>
      </c>
      <c r="I280" s="72">
        <f>IF($F280=0,0,$F280/Inicio!$C$22)</f>
        <v/>
      </c>
      <c r="J280" s="73">
        <f>IF($I280=0,"",ROUND($E280/$I280,0))</f>
        <v/>
      </c>
      <c r="K280" s="71">
        <f>IF($B280="",0,$E280*IFERROR(INDEX(Productos!$G$5:$G$124,MATCH($B280,Productos!$A$5:$A$124,0)),0))</f>
        <v/>
      </c>
      <c r="L280" s="71">
        <f>IF($K280=0,0,$K280*Inicio!$C$25/365*Inicio!$C$22)</f>
        <v/>
      </c>
      <c r="M280" s="73">
        <f>IF($B280="","",IF(SUMIF($B$5:$B$304,$B280,$F$5:$F$304)=0,"",ROUND(SUMIF($B$5:$B$304,$B280,$E$5:$E$304)/(SUMIF($B$5:$B$304,$B280,$F$5:$F$304)/Inicio!$C$22),0)))</f>
        <v/>
      </c>
      <c r="N280" s="74">
        <f>IF($B280="","",IF(AND($E280&lt;=0,$F280&gt;0),"QUIEBRE",IF(AND($F280=0,$E280&gt;0),"SIN ROTACIÓN",IF($J280="","",IF($J280&lt;Inicio!$C$23,"RIESGO DE QUIEBRE",IF($J280&gt;Inicio!$C$24*1.5,"EXCESO","SANO"))))))</f>
        <v/>
      </c>
      <c r="O280" s="74">
        <f>IF($M280="","",IF($J280="","",IF($J280&gt;2*$M280,"ENVIAR a otra tienda",IF($J280&lt;0.5*$M280,"PEDIR traslado","—"))))</f>
        <v/>
      </c>
    </row>
    <row r="281" ht="15" customHeight="1" s="47">
      <c r="A281" s="64" t="n"/>
      <c r="B281" s="64" t="n"/>
      <c r="C281" s="59">
        <f>IFERROR(INDEX(Productos!$B$5:$B$124,MATCH($B281,Productos!$A$5:$A$124,0)),"")</f>
        <v/>
      </c>
      <c r="D281" s="59">
        <f>IFERROR(INDEX(Productos!$D$5:$D$124,MATCH($B281,Productos!$A$5:$A$124,0)),"")</f>
        <v/>
      </c>
      <c r="E281" s="64" t="n"/>
      <c r="F281" s="70">
        <f>IF($B281="",0,SUMIFS(Ventas!$F$5:$F$504,Ventas!$B$5:$B$504,$A281,Ventas!$C$5:$C$504,$B281))</f>
        <v/>
      </c>
      <c r="G281" s="71">
        <f>IF($B281="",0,SUMIFS(Ventas!$L$5:$L$504,Ventas!$B$5:$B$504,$A281,Ventas!$C$5:$C$504,$B281))</f>
        <v/>
      </c>
      <c r="H281" s="71">
        <f>IF($B281="",0,SUMIFS(Ventas!$P$5:$P$504,Ventas!$B$5:$B$504,$A281,Ventas!$C$5:$C$504,$B281))</f>
        <v/>
      </c>
      <c r="I281" s="72">
        <f>IF($F281=0,0,$F281/Inicio!$C$22)</f>
        <v/>
      </c>
      <c r="J281" s="73">
        <f>IF($I281=0,"",ROUND($E281/$I281,0))</f>
        <v/>
      </c>
      <c r="K281" s="71">
        <f>IF($B281="",0,$E281*IFERROR(INDEX(Productos!$G$5:$G$124,MATCH($B281,Productos!$A$5:$A$124,0)),0))</f>
        <v/>
      </c>
      <c r="L281" s="71">
        <f>IF($K281=0,0,$K281*Inicio!$C$25/365*Inicio!$C$22)</f>
        <v/>
      </c>
      <c r="M281" s="73">
        <f>IF($B281="","",IF(SUMIF($B$5:$B$304,$B281,$F$5:$F$304)=0,"",ROUND(SUMIF($B$5:$B$304,$B281,$E$5:$E$304)/(SUMIF($B$5:$B$304,$B281,$F$5:$F$304)/Inicio!$C$22),0)))</f>
        <v/>
      </c>
      <c r="N281" s="74">
        <f>IF($B281="","",IF(AND($E281&lt;=0,$F281&gt;0),"QUIEBRE",IF(AND($F281=0,$E281&gt;0),"SIN ROTACIÓN",IF($J281="","",IF($J281&lt;Inicio!$C$23,"RIESGO DE QUIEBRE",IF($J281&gt;Inicio!$C$24*1.5,"EXCESO","SANO"))))))</f>
        <v/>
      </c>
      <c r="O281" s="74">
        <f>IF($M281="","",IF($J281="","",IF($J281&gt;2*$M281,"ENVIAR a otra tienda",IF($J281&lt;0.5*$M281,"PEDIR traslado","—"))))</f>
        <v/>
      </c>
    </row>
    <row r="282" ht="15" customHeight="1" s="47">
      <c r="A282" s="64" t="n"/>
      <c r="B282" s="64" t="n"/>
      <c r="C282" s="59">
        <f>IFERROR(INDEX(Productos!$B$5:$B$124,MATCH($B282,Productos!$A$5:$A$124,0)),"")</f>
        <v/>
      </c>
      <c r="D282" s="59">
        <f>IFERROR(INDEX(Productos!$D$5:$D$124,MATCH($B282,Productos!$A$5:$A$124,0)),"")</f>
        <v/>
      </c>
      <c r="E282" s="64" t="n"/>
      <c r="F282" s="70">
        <f>IF($B282="",0,SUMIFS(Ventas!$F$5:$F$504,Ventas!$B$5:$B$504,$A282,Ventas!$C$5:$C$504,$B282))</f>
        <v/>
      </c>
      <c r="G282" s="71">
        <f>IF($B282="",0,SUMIFS(Ventas!$L$5:$L$504,Ventas!$B$5:$B$504,$A282,Ventas!$C$5:$C$504,$B282))</f>
        <v/>
      </c>
      <c r="H282" s="71">
        <f>IF($B282="",0,SUMIFS(Ventas!$P$5:$P$504,Ventas!$B$5:$B$504,$A282,Ventas!$C$5:$C$504,$B282))</f>
        <v/>
      </c>
      <c r="I282" s="72">
        <f>IF($F282=0,0,$F282/Inicio!$C$22)</f>
        <v/>
      </c>
      <c r="J282" s="73">
        <f>IF($I282=0,"",ROUND($E282/$I282,0))</f>
        <v/>
      </c>
      <c r="K282" s="71">
        <f>IF($B282="",0,$E282*IFERROR(INDEX(Productos!$G$5:$G$124,MATCH($B282,Productos!$A$5:$A$124,0)),0))</f>
        <v/>
      </c>
      <c r="L282" s="71">
        <f>IF($K282=0,0,$K282*Inicio!$C$25/365*Inicio!$C$22)</f>
        <v/>
      </c>
      <c r="M282" s="73">
        <f>IF($B282="","",IF(SUMIF($B$5:$B$304,$B282,$F$5:$F$304)=0,"",ROUND(SUMIF($B$5:$B$304,$B282,$E$5:$E$304)/(SUMIF($B$5:$B$304,$B282,$F$5:$F$304)/Inicio!$C$22),0)))</f>
        <v/>
      </c>
      <c r="N282" s="74">
        <f>IF($B282="","",IF(AND($E282&lt;=0,$F282&gt;0),"QUIEBRE",IF(AND($F282=0,$E282&gt;0),"SIN ROTACIÓN",IF($J282="","",IF($J282&lt;Inicio!$C$23,"RIESGO DE QUIEBRE",IF($J282&gt;Inicio!$C$24*1.5,"EXCESO","SANO"))))))</f>
        <v/>
      </c>
      <c r="O282" s="74">
        <f>IF($M282="","",IF($J282="","",IF($J282&gt;2*$M282,"ENVIAR a otra tienda",IF($J282&lt;0.5*$M282,"PEDIR traslado","—"))))</f>
        <v/>
      </c>
    </row>
    <row r="283" ht="15" customHeight="1" s="47">
      <c r="A283" s="64" t="n"/>
      <c r="B283" s="64" t="n"/>
      <c r="C283" s="59">
        <f>IFERROR(INDEX(Productos!$B$5:$B$124,MATCH($B283,Productos!$A$5:$A$124,0)),"")</f>
        <v/>
      </c>
      <c r="D283" s="59">
        <f>IFERROR(INDEX(Productos!$D$5:$D$124,MATCH($B283,Productos!$A$5:$A$124,0)),"")</f>
        <v/>
      </c>
      <c r="E283" s="64" t="n"/>
      <c r="F283" s="70">
        <f>IF($B283="",0,SUMIFS(Ventas!$F$5:$F$504,Ventas!$B$5:$B$504,$A283,Ventas!$C$5:$C$504,$B283))</f>
        <v/>
      </c>
      <c r="G283" s="71">
        <f>IF($B283="",0,SUMIFS(Ventas!$L$5:$L$504,Ventas!$B$5:$B$504,$A283,Ventas!$C$5:$C$504,$B283))</f>
        <v/>
      </c>
      <c r="H283" s="71">
        <f>IF($B283="",0,SUMIFS(Ventas!$P$5:$P$504,Ventas!$B$5:$B$504,$A283,Ventas!$C$5:$C$504,$B283))</f>
        <v/>
      </c>
      <c r="I283" s="72">
        <f>IF($F283=0,0,$F283/Inicio!$C$22)</f>
        <v/>
      </c>
      <c r="J283" s="73">
        <f>IF($I283=0,"",ROUND($E283/$I283,0))</f>
        <v/>
      </c>
      <c r="K283" s="71">
        <f>IF($B283="",0,$E283*IFERROR(INDEX(Productos!$G$5:$G$124,MATCH($B283,Productos!$A$5:$A$124,0)),0))</f>
        <v/>
      </c>
      <c r="L283" s="71">
        <f>IF($K283=0,0,$K283*Inicio!$C$25/365*Inicio!$C$22)</f>
        <v/>
      </c>
      <c r="M283" s="73">
        <f>IF($B283="","",IF(SUMIF($B$5:$B$304,$B283,$F$5:$F$304)=0,"",ROUND(SUMIF($B$5:$B$304,$B283,$E$5:$E$304)/(SUMIF($B$5:$B$304,$B283,$F$5:$F$304)/Inicio!$C$22),0)))</f>
        <v/>
      </c>
      <c r="N283" s="74">
        <f>IF($B283="","",IF(AND($E283&lt;=0,$F283&gt;0),"QUIEBRE",IF(AND($F283=0,$E283&gt;0),"SIN ROTACIÓN",IF($J283="","",IF($J283&lt;Inicio!$C$23,"RIESGO DE QUIEBRE",IF($J283&gt;Inicio!$C$24*1.5,"EXCESO","SANO"))))))</f>
        <v/>
      </c>
      <c r="O283" s="74">
        <f>IF($M283="","",IF($J283="","",IF($J283&gt;2*$M283,"ENVIAR a otra tienda",IF($J283&lt;0.5*$M283,"PEDIR traslado","—"))))</f>
        <v/>
      </c>
    </row>
    <row r="284" ht="15" customHeight="1" s="47">
      <c r="A284" s="64" t="n"/>
      <c r="B284" s="64" t="n"/>
      <c r="C284" s="59">
        <f>IFERROR(INDEX(Productos!$B$5:$B$124,MATCH($B284,Productos!$A$5:$A$124,0)),"")</f>
        <v/>
      </c>
      <c r="D284" s="59">
        <f>IFERROR(INDEX(Productos!$D$5:$D$124,MATCH($B284,Productos!$A$5:$A$124,0)),"")</f>
        <v/>
      </c>
      <c r="E284" s="64" t="n"/>
      <c r="F284" s="70">
        <f>IF($B284="",0,SUMIFS(Ventas!$F$5:$F$504,Ventas!$B$5:$B$504,$A284,Ventas!$C$5:$C$504,$B284))</f>
        <v/>
      </c>
      <c r="G284" s="71">
        <f>IF($B284="",0,SUMIFS(Ventas!$L$5:$L$504,Ventas!$B$5:$B$504,$A284,Ventas!$C$5:$C$504,$B284))</f>
        <v/>
      </c>
      <c r="H284" s="71">
        <f>IF($B284="",0,SUMIFS(Ventas!$P$5:$P$504,Ventas!$B$5:$B$504,$A284,Ventas!$C$5:$C$504,$B284))</f>
        <v/>
      </c>
      <c r="I284" s="72">
        <f>IF($F284=0,0,$F284/Inicio!$C$22)</f>
        <v/>
      </c>
      <c r="J284" s="73">
        <f>IF($I284=0,"",ROUND($E284/$I284,0))</f>
        <v/>
      </c>
      <c r="K284" s="71">
        <f>IF($B284="",0,$E284*IFERROR(INDEX(Productos!$G$5:$G$124,MATCH($B284,Productos!$A$5:$A$124,0)),0))</f>
        <v/>
      </c>
      <c r="L284" s="71">
        <f>IF($K284=0,0,$K284*Inicio!$C$25/365*Inicio!$C$22)</f>
        <v/>
      </c>
      <c r="M284" s="73">
        <f>IF($B284="","",IF(SUMIF($B$5:$B$304,$B284,$F$5:$F$304)=0,"",ROUND(SUMIF($B$5:$B$304,$B284,$E$5:$E$304)/(SUMIF($B$5:$B$304,$B284,$F$5:$F$304)/Inicio!$C$22),0)))</f>
        <v/>
      </c>
      <c r="N284" s="74">
        <f>IF($B284="","",IF(AND($E284&lt;=0,$F284&gt;0),"QUIEBRE",IF(AND($F284=0,$E284&gt;0),"SIN ROTACIÓN",IF($J284="","",IF($J284&lt;Inicio!$C$23,"RIESGO DE QUIEBRE",IF($J284&gt;Inicio!$C$24*1.5,"EXCESO","SANO"))))))</f>
        <v/>
      </c>
      <c r="O284" s="74">
        <f>IF($M284="","",IF($J284="","",IF($J284&gt;2*$M284,"ENVIAR a otra tienda",IF($J284&lt;0.5*$M284,"PEDIR traslado","—"))))</f>
        <v/>
      </c>
    </row>
    <row r="285" ht="15" customHeight="1" s="47">
      <c r="A285" s="64" t="n"/>
      <c r="B285" s="64" t="n"/>
      <c r="C285" s="59">
        <f>IFERROR(INDEX(Productos!$B$5:$B$124,MATCH($B285,Productos!$A$5:$A$124,0)),"")</f>
        <v/>
      </c>
      <c r="D285" s="59">
        <f>IFERROR(INDEX(Productos!$D$5:$D$124,MATCH($B285,Productos!$A$5:$A$124,0)),"")</f>
        <v/>
      </c>
      <c r="E285" s="64" t="n"/>
      <c r="F285" s="70">
        <f>IF($B285="",0,SUMIFS(Ventas!$F$5:$F$504,Ventas!$B$5:$B$504,$A285,Ventas!$C$5:$C$504,$B285))</f>
        <v/>
      </c>
      <c r="G285" s="71">
        <f>IF($B285="",0,SUMIFS(Ventas!$L$5:$L$504,Ventas!$B$5:$B$504,$A285,Ventas!$C$5:$C$504,$B285))</f>
        <v/>
      </c>
      <c r="H285" s="71">
        <f>IF($B285="",0,SUMIFS(Ventas!$P$5:$P$504,Ventas!$B$5:$B$504,$A285,Ventas!$C$5:$C$504,$B285))</f>
        <v/>
      </c>
      <c r="I285" s="72">
        <f>IF($F285=0,0,$F285/Inicio!$C$22)</f>
        <v/>
      </c>
      <c r="J285" s="73">
        <f>IF($I285=0,"",ROUND($E285/$I285,0))</f>
        <v/>
      </c>
      <c r="K285" s="71">
        <f>IF($B285="",0,$E285*IFERROR(INDEX(Productos!$G$5:$G$124,MATCH($B285,Productos!$A$5:$A$124,0)),0))</f>
        <v/>
      </c>
      <c r="L285" s="71">
        <f>IF($K285=0,0,$K285*Inicio!$C$25/365*Inicio!$C$22)</f>
        <v/>
      </c>
      <c r="M285" s="73">
        <f>IF($B285="","",IF(SUMIF($B$5:$B$304,$B285,$F$5:$F$304)=0,"",ROUND(SUMIF($B$5:$B$304,$B285,$E$5:$E$304)/(SUMIF($B$5:$B$304,$B285,$F$5:$F$304)/Inicio!$C$22),0)))</f>
        <v/>
      </c>
      <c r="N285" s="74">
        <f>IF($B285="","",IF(AND($E285&lt;=0,$F285&gt;0),"QUIEBRE",IF(AND($F285=0,$E285&gt;0),"SIN ROTACIÓN",IF($J285="","",IF($J285&lt;Inicio!$C$23,"RIESGO DE QUIEBRE",IF($J285&gt;Inicio!$C$24*1.5,"EXCESO","SANO"))))))</f>
        <v/>
      </c>
      <c r="O285" s="74">
        <f>IF($M285="","",IF($J285="","",IF($J285&gt;2*$M285,"ENVIAR a otra tienda",IF($J285&lt;0.5*$M285,"PEDIR traslado","—"))))</f>
        <v/>
      </c>
    </row>
    <row r="286" ht="15" customHeight="1" s="47">
      <c r="A286" s="64" t="n"/>
      <c r="B286" s="64" t="n"/>
      <c r="C286" s="59">
        <f>IFERROR(INDEX(Productos!$B$5:$B$124,MATCH($B286,Productos!$A$5:$A$124,0)),"")</f>
        <v/>
      </c>
      <c r="D286" s="59">
        <f>IFERROR(INDEX(Productos!$D$5:$D$124,MATCH($B286,Productos!$A$5:$A$124,0)),"")</f>
        <v/>
      </c>
      <c r="E286" s="64" t="n"/>
      <c r="F286" s="70">
        <f>IF($B286="",0,SUMIFS(Ventas!$F$5:$F$504,Ventas!$B$5:$B$504,$A286,Ventas!$C$5:$C$504,$B286))</f>
        <v/>
      </c>
      <c r="G286" s="71">
        <f>IF($B286="",0,SUMIFS(Ventas!$L$5:$L$504,Ventas!$B$5:$B$504,$A286,Ventas!$C$5:$C$504,$B286))</f>
        <v/>
      </c>
      <c r="H286" s="71">
        <f>IF($B286="",0,SUMIFS(Ventas!$P$5:$P$504,Ventas!$B$5:$B$504,$A286,Ventas!$C$5:$C$504,$B286))</f>
        <v/>
      </c>
      <c r="I286" s="72">
        <f>IF($F286=0,0,$F286/Inicio!$C$22)</f>
        <v/>
      </c>
      <c r="J286" s="73">
        <f>IF($I286=0,"",ROUND($E286/$I286,0))</f>
        <v/>
      </c>
      <c r="K286" s="71">
        <f>IF($B286="",0,$E286*IFERROR(INDEX(Productos!$G$5:$G$124,MATCH($B286,Productos!$A$5:$A$124,0)),0))</f>
        <v/>
      </c>
      <c r="L286" s="71">
        <f>IF($K286=0,0,$K286*Inicio!$C$25/365*Inicio!$C$22)</f>
        <v/>
      </c>
      <c r="M286" s="73">
        <f>IF($B286="","",IF(SUMIF($B$5:$B$304,$B286,$F$5:$F$304)=0,"",ROUND(SUMIF($B$5:$B$304,$B286,$E$5:$E$304)/(SUMIF($B$5:$B$304,$B286,$F$5:$F$304)/Inicio!$C$22),0)))</f>
        <v/>
      </c>
      <c r="N286" s="74">
        <f>IF($B286="","",IF(AND($E286&lt;=0,$F286&gt;0),"QUIEBRE",IF(AND($F286=0,$E286&gt;0),"SIN ROTACIÓN",IF($J286="","",IF($J286&lt;Inicio!$C$23,"RIESGO DE QUIEBRE",IF($J286&gt;Inicio!$C$24*1.5,"EXCESO","SANO"))))))</f>
        <v/>
      </c>
      <c r="O286" s="74">
        <f>IF($M286="","",IF($J286="","",IF($J286&gt;2*$M286,"ENVIAR a otra tienda",IF($J286&lt;0.5*$M286,"PEDIR traslado","—"))))</f>
        <v/>
      </c>
    </row>
    <row r="287" ht="15" customHeight="1" s="47">
      <c r="A287" s="64" t="n"/>
      <c r="B287" s="64" t="n"/>
      <c r="C287" s="59">
        <f>IFERROR(INDEX(Productos!$B$5:$B$124,MATCH($B287,Productos!$A$5:$A$124,0)),"")</f>
        <v/>
      </c>
      <c r="D287" s="59">
        <f>IFERROR(INDEX(Productos!$D$5:$D$124,MATCH($B287,Productos!$A$5:$A$124,0)),"")</f>
        <v/>
      </c>
      <c r="E287" s="64" t="n"/>
      <c r="F287" s="70">
        <f>IF($B287="",0,SUMIFS(Ventas!$F$5:$F$504,Ventas!$B$5:$B$504,$A287,Ventas!$C$5:$C$504,$B287))</f>
        <v/>
      </c>
      <c r="G287" s="71">
        <f>IF($B287="",0,SUMIFS(Ventas!$L$5:$L$504,Ventas!$B$5:$B$504,$A287,Ventas!$C$5:$C$504,$B287))</f>
        <v/>
      </c>
      <c r="H287" s="71">
        <f>IF($B287="",0,SUMIFS(Ventas!$P$5:$P$504,Ventas!$B$5:$B$504,$A287,Ventas!$C$5:$C$504,$B287))</f>
        <v/>
      </c>
      <c r="I287" s="72">
        <f>IF($F287=0,0,$F287/Inicio!$C$22)</f>
        <v/>
      </c>
      <c r="J287" s="73">
        <f>IF($I287=0,"",ROUND($E287/$I287,0))</f>
        <v/>
      </c>
      <c r="K287" s="71">
        <f>IF($B287="",0,$E287*IFERROR(INDEX(Productos!$G$5:$G$124,MATCH($B287,Productos!$A$5:$A$124,0)),0))</f>
        <v/>
      </c>
      <c r="L287" s="71">
        <f>IF($K287=0,0,$K287*Inicio!$C$25/365*Inicio!$C$22)</f>
        <v/>
      </c>
      <c r="M287" s="73">
        <f>IF($B287="","",IF(SUMIF($B$5:$B$304,$B287,$F$5:$F$304)=0,"",ROUND(SUMIF($B$5:$B$304,$B287,$E$5:$E$304)/(SUMIF($B$5:$B$304,$B287,$F$5:$F$304)/Inicio!$C$22),0)))</f>
        <v/>
      </c>
      <c r="N287" s="74">
        <f>IF($B287="","",IF(AND($E287&lt;=0,$F287&gt;0),"QUIEBRE",IF(AND($F287=0,$E287&gt;0),"SIN ROTACIÓN",IF($J287="","",IF($J287&lt;Inicio!$C$23,"RIESGO DE QUIEBRE",IF($J287&gt;Inicio!$C$24*1.5,"EXCESO","SANO"))))))</f>
        <v/>
      </c>
      <c r="O287" s="74">
        <f>IF($M287="","",IF($J287="","",IF($J287&gt;2*$M287,"ENVIAR a otra tienda",IF($J287&lt;0.5*$M287,"PEDIR traslado","—"))))</f>
        <v/>
      </c>
    </row>
    <row r="288" ht="15" customHeight="1" s="47">
      <c r="A288" s="64" t="n"/>
      <c r="B288" s="64" t="n"/>
      <c r="C288" s="59">
        <f>IFERROR(INDEX(Productos!$B$5:$B$124,MATCH($B288,Productos!$A$5:$A$124,0)),"")</f>
        <v/>
      </c>
      <c r="D288" s="59">
        <f>IFERROR(INDEX(Productos!$D$5:$D$124,MATCH($B288,Productos!$A$5:$A$124,0)),"")</f>
        <v/>
      </c>
      <c r="E288" s="64" t="n"/>
      <c r="F288" s="70">
        <f>IF($B288="",0,SUMIFS(Ventas!$F$5:$F$504,Ventas!$B$5:$B$504,$A288,Ventas!$C$5:$C$504,$B288))</f>
        <v/>
      </c>
      <c r="G288" s="71">
        <f>IF($B288="",0,SUMIFS(Ventas!$L$5:$L$504,Ventas!$B$5:$B$504,$A288,Ventas!$C$5:$C$504,$B288))</f>
        <v/>
      </c>
      <c r="H288" s="71">
        <f>IF($B288="",0,SUMIFS(Ventas!$P$5:$P$504,Ventas!$B$5:$B$504,$A288,Ventas!$C$5:$C$504,$B288))</f>
        <v/>
      </c>
      <c r="I288" s="72">
        <f>IF($F288=0,0,$F288/Inicio!$C$22)</f>
        <v/>
      </c>
      <c r="J288" s="73">
        <f>IF($I288=0,"",ROUND($E288/$I288,0))</f>
        <v/>
      </c>
      <c r="K288" s="71">
        <f>IF($B288="",0,$E288*IFERROR(INDEX(Productos!$G$5:$G$124,MATCH($B288,Productos!$A$5:$A$124,0)),0))</f>
        <v/>
      </c>
      <c r="L288" s="71">
        <f>IF($K288=0,0,$K288*Inicio!$C$25/365*Inicio!$C$22)</f>
        <v/>
      </c>
      <c r="M288" s="73">
        <f>IF($B288="","",IF(SUMIF($B$5:$B$304,$B288,$F$5:$F$304)=0,"",ROUND(SUMIF($B$5:$B$304,$B288,$E$5:$E$304)/(SUMIF($B$5:$B$304,$B288,$F$5:$F$304)/Inicio!$C$22),0)))</f>
        <v/>
      </c>
      <c r="N288" s="74">
        <f>IF($B288="","",IF(AND($E288&lt;=0,$F288&gt;0),"QUIEBRE",IF(AND($F288=0,$E288&gt;0),"SIN ROTACIÓN",IF($J288="","",IF($J288&lt;Inicio!$C$23,"RIESGO DE QUIEBRE",IF($J288&gt;Inicio!$C$24*1.5,"EXCESO","SANO"))))))</f>
        <v/>
      </c>
      <c r="O288" s="74">
        <f>IF($M288="","",IF($J288="","",IF($J288&gt;2*$M288,"ENVIAR a otra tienda",IF($J288&lt;0.5*$M288,"PEDIR traslado","—"))))</f>
        <v/>
      </c>
    </row>
    <row r="289" ht="15" customHeight="1" s="47">
      <c r="A289" s="64" t="n"/>
      <c r="B289" s="64" t="n"/>
      <c r="C289" s="59">
        <f>IFERROR(INDEX(Productos!$B$5:$B$124,MATCH($B289,Productos!$A$5:$A$124,0)),"")</f>
        <v/>
      </c>
      <c r="D289" s="59">
        <f>IFERROR(INDEX(Productos!$D$5:$D$124,MATCH($B289,Productos!$A$5:$A$124,0)),"")</f>
        <v/>
      </c>
      <c r="E289" s="64" t="n"/>
      <c r="F289" s="70">
        <f>IF($B289="",0,SUMIFS(Ventas!$F$5:$F$504,Ventas!$B$5:$B$504,$A289,Ventas!$C$5:$C$504,$B289))</f>
        <v/>
      </c>
      <c r="G289" s="71">
        <f>IF($B289="",0,SUMIFS(Ventas!$L$5:$L$504,Ventas!$B$5:$B$504,$A289,Ventas!$C$5:$C$504,$B289))</f>
        <v/>
      </c>
      <c r="H289" s="71">
        <f>IF($B289="",0,SUMIFS(Ventas!$P$5:$P$504,Ventas!$B$5:$B$504,$A289,Ventas!$C$5:$C$504,$B289))</f>
        <v/>
      </c>
      <c r="I289" s="72">
        <f>IF($F289=0,0,$F289/Inicio!$C$22)</f>
        <v/>
      </c>
      <c r="J289" s="73">
        <f>IF($I289=0,"",ROUND($E289/$I289,0))</f>
        <v/>
      </c>
      <c r="K289" s="71">
        <f>IF($B289="",0,$E289*IFERROR(INDEX(Productos!$G$5:$G$124,MATCH($B289,Productos!$A$5:$A$124,0)),0))</f>
        <v/>
      </c>
      <c r="L289" s="71">
        <f>IF($K289=0,0,$K289*Inicio!$C$25/365*Inicio!$C$22)</f>
        <v/>
      </c>
      <c r="M289" s="73">
        <f>IF($B289="","",IF(SUMIF($B$5:$B$304,$B289,$F$5:$F$304)=0,"",ROUND(SUMIF($B$5:$B$304,$B289,$E$5:$E$304)/(SUMIF($B$5:$B$304,$B289,$F$5:$F$304)/Inicio!$C$22),0)))</f>
        <v/>
      </c>
      <c r="N289" s="74">
        <f>IF($B289="","",IF(AND($E289&lt;=0,$F289&gt;0),"QUIEBRE",IF(AND($F289=0,$E289&gt;0),"SIN ROTACIÓN",IF($J289="","",IF($J289&lt;Inicio!$C$23,"RIESGO DE QUIEBRE",IF($J289&gt;Inicio!$C$24*1.5,"EXCESO","SANO"))))))</f>
        <v/>
      </c>
      <c r="O289" s="74">
        <f>IF($M289="","",IF($J289="","",IF($J289&gt;2*$M289,"ENVIAR a otra tienda",IF($J289&lt;0.5*$M289,"PEDIR traslado","—"))))</f>
        <v/>
      </c>
    </row>
    <row r="290" ht="15" customHeight="1" s="47">
      <c r="A290" s="64" t="n"/>
      <c r="B290" s="64" t="n"/>
      <c r="C290" s="59">
        <f>IFERROR(INDEX(Productos!$B$5:$B$124,MATCH($B290,Productos!$A$5:$A$124,0)),"")</f>
        <v/>
      </c>
      <c r="D290" s="59">
        <f>IFERROR(INDEX(Productos!$D$5:$D$124,MATCH($B290,Productos!$A$5:$A$124,0)),"")</f>
        <v/>
      </c>
      <c r="E290" s="64" t="n"/>
      <c r="F290" s="70">
        <f>IF($B290="",0,SUMIFS(Ventas!$F$5:$F$504,Ventas!$B$5:$B$504,$A290,Ventas!$C$5:$C$504,$B290))</f>
        <v/>
      </c>
      <c r="G290" s="71">
        <f>IF($B290="",0,SUMIFS(Ventas!$L$5:$L$504,Ventas!$B$5:$B$504,$A290,Ventas!$C$5:$C$504,$B290))</f>
        <v/>
      </c>
      <c r="H290" s="71">
        <f>IF($B290="",0,SUMIFS(Ventas!$P$5:$P$504,Ventas!$B$5:$B$504,$A290,Ventas!$C$5:$C$504,$B290))</f>
        <v/>
      </c>
      <c r="I290" s="72">
        <f>IF($F290=0,0,$F290/Inicio!$C$22)</f>
        <v/>
      </c>
      <c r="J290" s="73">
        <f>IF($I290=0,"",ROUND($E290/$I290,0))</f>
        <v/>
      </c>
      <c r="K290" s="71">
        <f>IF($B290="",0,$E290*IFERROR(INDEX(Productos!$G$5:$G$124,MATCH($B290,Productos!$A$5:$A$124,0)),0))</f>
        <v/>
      </c>
      <c r="L290" s="71">
        <f>IF($K290=0,0,$K290*Inicio!$C$25/365*Inicio!$C$22)</f>
        <v/>
      </c>
      <c r="M290" s="73">
        <f>IF($B290="","",IF(SUMIF($B$5:$B$304,$B290,$F$5:$F$304)=0,"",ROUND(SUMIF($B$5:$B$304,$B290,$E$5:$E$304)/(SUMIF($B$5:$B$304,$B290,$F$5:$F$304)/Inicio!$C$22),0)))</f>
        <v/>
      </c>
      <c r="N290" s="74">
        <f>IF($B290="","",IF(AND($E290&lt;=0,$F290&gt;0),"QUIEBRE",IF(AND($F290=0,$E290&gt;0),"SIN ROTACIÓN",IF($J290="","",IF($J290&lt;Inicio!$C$23,"RIESGO DE QUIEBRE",IF($J290&gt;Inicio!$C$24*1.5,"EXCESO","SANO"))))))</f>
        <v/>
      </c>
      <c r="O290" s="74">
        <f>IF($M290="","",IF($J290="","",IF($J290&gt;2*$M290,"ENVIAR a otra tienda",IF($J290&lt;0.5*$M290,"PEDIR traslado","—"))))</f>
        <v/>
      </c>
    </row>
    <row r="291" ht="15" customHeight="1" s="47">
      <c r="A291" s="64" t="n"/>
      <c r="B291" s="64" t="n"/>
      <c r="C291" s="59">
        <f>IFERROR(INDEX(Productos!$B$5:$B$124,MATCH($B291,Productos!$A$5:$A$124,0)),"")</f>
        <v/>
      </c>
      <c r="D291" s="59">
        <f>IFERROR(INDEX(Productos!$D$5:$D$124,MATCH($B291,Productos!$A$5:$A$124,0)),"")</f>
        <v/>
      </c>
      <c r="E291" s="64" t="n"/>
      <c r="F291" s="70">
        <f>IF($B291="",0,SUMIFS(Ventas!$F$5:$F$504,Ventas!$B$5:$B$504,$A291,Ventas!$C$5:$C$504,$B291))</f>
        <v/>
      </c>
      <c r="G291" s="71">
        <f>IF($B291="",0,SUMIFS(Ventas!$L$5:$L$504,Ventas!$B$5:$B$504,$A291,Ventas!$C$5:$C$504,$B291))</f>
        <v/>
      </c>
      <c r="H291" s="71">
        <f>IF($B291="",0,SUMIFS(Ventas!$P$5:$P$504,Ventas!$B$5:$B$504,$A291,Ventas!$C$5:$C$504,$B291))</f>
        <v/>
      </c>
      <c r="I291" s="72">
        <f>IF($F291=0,0,$F291/Inicio!$C$22)</f>
        <v/>
      </c>
      <c r="J291" s="73">
        <f>IF($I291=0,"",ROUND($E291/$I291,0))</f>
        <v/>
      </c>
      <c r="K291" s="71">
        <f>IF($B291="",0,$E291*IFERROR(INDEX(Productos!$G$5:$G$124,MATCH($B291,Productos!$A$5:$A$124,0)),0))</f>
        <v/>
      </c>
      <c r="L291" s="71">
        <f>IF($K291=0,0,$K291*Inicio!$C$25/365*Inicio!$C$22)</f>
        <v/>
      </c>
      <c r="M291" s="73">
        <f>IF($B291="","",IF(SUMIF($B$5:$B$304,$B291,$F$5:$F$304)=0,"",ROUND(SUMIF($B$5:$B$304,$B291,$E$5:$E$304)/(SUMIF($B$5:$B$304,$B291,$F$5:$F$304)/Inicio!$C$22),0)))</f>
        <v/>
      </c>
      <c r="N291" s="74">
        <f>IF($B291="","",IF(AND($E291&lt;=0,$F291&gt;0),"QUIEBRE",IF(AND($F291=0,$E291&gt;0),"SIN ROTACIÓN",IF($J291="","",IF($J291&lt;Inicio!$C$23,"RIESGO DE QUIEBRE",IF($J291&gt;Inicio!$C$24*1.5,"EXCESO","SANO"))))))</f>
        <v/>
      </c>
      <c r="O291" s="74">
        <f>IF($M291="","",IF($J291="","",IF($J291&gt;2*$M291,"ENVIAR a otra tienda",IF($J291&lt;0.5*$M291,"PEDIR traslado","—"))))</f>
        <v/>
      </c>
    </row>
    <row r="292" ht="15" customHeight="1" s="47">
      <c r="A292" s="64" t="n"/>
      <c r="B292" s="64" t="n"/>
      <c r="C292" s="59">
        <f>IFERROR(INDEX(Productos!$B$5:$B$124,MATCH($B292,Productos!$A$5:$A$124,0)),"")</f>
        <v/>
      </c>
      <c r="D292" s="59">
        <f>IFERROR(INDEX(Productos!$D$5:$D$124,MATCH($B292,Productos!$A$5:$A$124,0)),"")</f>
        <v/>
      </c>
      <c r="E292" s="64" t="n"/>
      <c r="F292" s="70">
        <f>IF($B292="",0,SUMIFS(Ventas!$F$5:$F$504,Ventas!$B$5:$B$504,$A292,Ventas!$C$5:$C$504,$B292))</f>
        <v/>
      </c>
      <c r="G292" s="71">
        <f>IF($B292="",0,SUMIFS(Ventas!$L$5:$L$504,Ventas!$B$5:$B$504,$A292,Ventas!$C$5:$C$504,$B292))</f>
        <v/>
      </c>
      <c r="H292" s="71">
        <f>IF($B292="",0,SUMIFS(Ventas!$P$5:$P$504,Ventas!$B$5:$B$504,$A292,Ventas!$C$5:$C$504,$B292))</f>
        <v/>
      </c>
      <c r="I292" s="72">
        <f>IF($F292=0,0,$F292/Inicio!$C$22)</f>
        <v/>
      </c>
      <c r="J292" s="73">
        <f>IF($I292=0,"",ROUND($E292/$I292,0))</f>
        <v/>
      </c>
      <c r="K292" s="71">
        <f>IF($B292="",0,$E292*IFERROR(INDEX(Productos!$G$5:$G$124,MATCH($B292,Productos!$A$5:$A$124,0)),0))</f>
        <v/>
      </c>
      <c r="L292" s="71">
        <f>IF($K292=0,0,$K292*Inicio!$C$25/365*Inicio!$C$22)</f>
        <v/>
      </c>
      <c r="M292" s="73">
        <f>IF($B292="","",IF(SUMIF($B$5:$B$304,$B292,$F$5:$F$304)=0,"",ROUND(SUMIF($B$5:$B$304,$B292,$E$5:$E$304)/(SUMIF($B$5:$B$304,$B292,$F$5:$F$304)/Inicio!$C$22),0)))</f>
        <v/>
      </c>
      <c r="N292" s="74">
        <f>IF($B292="","",IF(AND($E292&lt;=0,$F292&gt;0),"QUIEBRE",IF(AND($F292=0,$E292&gt;0),"SIN ROTACIÓN",IF($J292="","",IF($J292&lt;Inicio!$C$23,"RIESGO DE QUIEBRE",IF($J292&gt;Inicio!$C$24*1.5,"EXCESO","SANO"))))))</f>
        <v/>
      </c>
      <c r="O292" s="74">
        <f>IF($M292="","",IF($J292="","",IF($J292&gt;2*$M292,"ENVIAR a otra tienda",IF($J292&lt;0.5*$M292,"PEDIR traslado","—"))))</f>
        <v/>
      </c>
    </row>
    <row r="293" ht="15" customHeight="1" s="47">
      <c r="A293" s="64" t="n"/>
      <c r="B293" s="64" t="n"/>
      <c r="C293" s="59">
        <f>IFERROR(INDEX(Productos!$B$5:$B$124,MATCH($B293,Productos!$A$5:$A$124,0)),"")</f>
        <v/>
      </c>
      <c r="D293" s="59">
        <f>IFERROR(INDEX(Productos!$D$5:$D$124,MATCH($B293,Productos!$A$5:$A$124,0)),"")</f>
        <v/>
      </c>
      <c r="E293" s="64" t="n"/>
      <c r="F293" s="70">
        <f>IF($B293="",0,SUMIFS(Ventas!$F$5:$F$504,Ventas!$B$5:$B$504,$A293,Ventas!$C$5:$C$504,$B293))</f>
        <v/>
      </c>
      <c r="G293" s="71">
        <f>IF($B293="",0,SUMIFS(Ventas!$L$5:$L$504,Ventas!$B$5:$B$504,$A293,Ventas!$C$5:$C$504,$B293))</f>
        <v/>
      </c>
      <c r="H293" s="71">
        <f>IF($B293="",0,SUMIFS(Ventas!$P$5:$P$504,Ventas!$B$5:$B$504,$A293,Ventas!$C$5:$C$504,$B293))</f>
        <v/>
      </c>
      <c r="I293" s="72">
        <f>IF($F293=0,0,$F293/Inicio!$C$22)</f>
        <v/>
      </c>
      <c r="J293" s="73">
        <f>IF($I293=0,"",ROUND($E293/$I293,0))</f>
        <v/>
      </c>
      <c r="K293" s="71">
        <f>IF($B293="",0,$E293*IFERROR(INDEX(Productos!$G$5:$G$124,MATCH($B293,Productos!$A$5:$A$124,0)),0))</f>
        <v/>
      </c>
      <c r="L293" s="71">
        <f>IF($K293=0,0,$K293*Inicio!$C$25/365*Inicio!$C$22)</f>
        <v/>
      </c>
      <c r="M293" s="73">
        <f>IF($B293="","",IF(SUMIF($B$5:$B$304,$B293,$F$5:$F$304)=0,"",ROUND(SUMIF($B$5:$B$304,$B293,$E$5:$E$304)/(SUMIF($B$5:$B$304,$B293,$F$5:$F$304)/Inicio!$C$22),0)))</f>
        <v/>
      </c>
      <c r="N293" s="74">
        <f>IF($B293="","",IF(AND($E293&lt;=0,$F293&gt;0),"QUIEBRE",IF(AND($F293=0,$E293&gt;0),"SIN ROTACIÓN",IF($J293="","",IF($J293&lt;Inicio!$C$23,"RIESGO DE QUIEBRE",IF($J293&gt;Inicio!$C$24*1.5,"EXCESO","SANO"))))))</f>
        <v/>
      </c>
      <c r="O293" s="74">
        <f>IF($M293="","",IF($J293="","",IF($J293&gt;2*$M293,"ENVIAR a otra tienda",IF($J293&lt;0.5*$M293,"PEDIR traslado","—"))))</f>
        <v/>
      </c>
    </row>
    <row r="294" ht="15" customHeight="1" s="47">
      <c r="A294" s="64" t="n"/>
      <c r="B294" s="64" t="n"/>
      <c r="C294" s="59">
        <f>IFERROR(INDEX(Productos!$B$5:$B$124,MATCH($B294,Productos!$A$5:$A$124,0)),"")</f>
        <v/>
      </c>
      <c r="D294" s="59">
        <f>IFERROR(INDEX(Productos!$D$5:$D$124,MATCH($B294,Productos!$A$5:$A$124,0)),"")</f>
        <v/>
      </c>
      <c r="E294" s="64" t="n"/>
      <c r="F294" s="70">
        <f>IF($B294="",0,SUMIFS(Ventas!$F$5:$F$504,Ventas!$B$5:$B$504,$A294,Ventas!$C$5:$C$504,$B294))</f>
        <v/>
      </c>
      <c r="G294" s="71">
        <f>IF($B294="",0,SUMIFS(Ventas!$L$5:$L$504,Ventas!$B$5:$B$504,$A294,Ventas!$C$5:$C$504,$B294))</f>
        <v/>
      </c>
      <c r="H294" s="71">
        <f>IF($B294="",0,SUMIFS(Ventas!$P$5:$P$504,Ventas!$B$5:$B$504,$A294,Ventas!$C$5:$C$504,$B294))</f>
        <v/>
      </c>
      <c r="I294" s="72">
        <f>IF($F294=0,0,$F294/Inicio!$C$22)</f>
        <v/>
      </c>
      <c r="J294" s="73">
        <f>IF($I294=0,"",ROUND($E294/$I294,0))</f>
        <v/>
      </c>
      <c r="K294" s="71">
        <f>IF($B294="",0,$E294*IFERROR(INDEX(Productos!$G$5:$G$124,MATCH($B294,Productos!$A$5:$A$124,0)),0))</f>
        <v/>
      </c>
      <c r="L294" s="71">
        <f>IF($K294=0,0,$K294*Inicio!$C$25/365*Inicio!$C$22)</f>
        <v/>
      </c>
      <c r="M294" s="73">
        <f>IF($B294="","",IF(SUMIF($B$5:$B$304,$B294,$F$5:$F$304)=0,"",ROUND(SUMIF($B$5:$B$304,$B294,$E$5:$E$304)/(SUMIF($B$5:$B$304,$B294,$F$5:$F$304)/Inicio!$C$22),0)))</f>
        <v/>
      </c>
      <c r="N294" s="74">
        <f>IF($B294="","",IF(AND($E294&lt;=0,$F294&gt;0),"QUIEBRE",IF(AND($F294=0,$E294&gt;0),"SIN ROTACIÓN",IF($J294="","",IF($J294&lt;Inicio!$C$23,"RIESGO DE QUIEBRE",IF($J294&gt;Inicio!$C$24*1.5,"EXCESO","SANO"))))))</f>
        <v/>
      </c>
      <c r="O294" s="74">
        <f>IF($M294="","",IF($J294="","",IF($J294&gt;2*$M294,"ENVIAR a otra tienda",IF($J294&lt;0.5*$M294,"PEDIR traslado","—"))))</f>
        <v/>
      </c>
    </row>
    <row r="295" ht="15" customHeight="1" s="47">
      <c r="A295" s="64" t="n"/>
      <c r="B295" s="64" t="n"/>
      <c r="C295" s="59">
        <f>IFERROR(INDEX(Productos!$B$5:$B$124,MATCH($B295,Productos!$A$5:$A$124,0)),"")</f>
        <v/>
      </c>
      <c r="D295" s="59">
        <f>IFERROR(INDEX(Productos!$D$5:$D$124,MATCH($B295,Productos!$A$5:$A$124,0)),"")</f>
        <v/>
      </c>
      <c r="E295" s="64" t="n"/>
      <c r="F295" s="70">
        <f>IF($B295="",0,SUMIFS(Ventas!$F$5:$F$504,Ventas!$B$5:$B$504,$A295,Ventas!$C$5:$C$504,$B295))</f>
        <v/>
      </c>
      <c r="G295" s="71">
        <f>IF($B295="",0,SUMIFS(Ventas!$L$5:$L$504,Ventas!$B$5:$B$504,$A295,Ventas!$C$5:$C$504,$B295))</f>
        <v/>
      </c>
      <c r="H295" s="71">
        <f>IF($B295="",0,SUMIFS(Ventas!$P$5:$P$504,Ventas!$B$5:$B$504,$A295,Ventas!$C$5:$C$504,$B295))</f>
        <v/>
      </c>
      <c r="I295" s="72">
        <f>IF($F295=0,0,$F295/Inicio!$C$22)</f>
        <v/>
      </c>
      <c r="J295" s="73">
        <f>IF($I295=0,"",ROUND($E295/$I295,0))</f>
        <v/>
      </c>
      <c r="K295" s="71">
        <f>IF($B295="",0,$E295*IFERROR(INDEX(Productos!$G$5:$G$124,MATCH($B295,Productos!$A$5:$A$124,0)),0))</f>
        <v/>
      </c>
      <c r="L295" s="71">
        <f>IF($K295=0,0,$K295*Inicio!$C$25/365*Inicio!$C$22)</f>
        <v/>
      </c>
      <c r="M295" s="73">
        <f>IF($B295="","",IF(SUMIF($B$5:$B$304,$B295,$F$5:$F$304)=0,"",ROUND(SUMIF($B$5:$B$304,$B295,$E$5:$E$304)/(SUMIF($B$5:$B$304,$B295,$F$5:$F$304)/Inicio!$C$22),0)))</f>
        <v/>
      </c>
      <c r="N295" s="74">
        <f>IF($B295="","",IF(AND($E295&lt;=0,$F295&gt;0),"QUIEBRE",IF(AND($F295=0,$E295&gt;0),"SIN ROTACIÓN",IF($J295="","",IF($J295&lt;Inicio!$C$23,"RIESGO DE QUIEBRE",IF($J295&gt;Inicio!$C$24*1.5,"EXCESO","SANO"))))))</f>
        <v/>
      </c>
      <c r="O295" s="74">
        <f>IF($M295="","",IF($J295="","",IF($J295&gt;2*$M295,"ENVIAR a otra tienda",IF($J295&lt;0.5*$M295,"PEDIR traslado","—"))))</f>
        <v/>
      </c>
    </row>
    <row r="296" ht="15" customHeight="1" s="47">
      <c r="A296" s="64" t="n"/>
      <c r="B296" s="64" t="n"/>
      <c r="C296" s="59">
        <f>IFERROR(INDEX(Productos!$B$5:$B$124,MATCH($B296,Productos!$A$5:$A$124,0)),"")</f>
        <v/>
      </c>
      <c r="D296" s="59">
        <f>IFERROR(INDEX(Productos!$D$5:$D$124,MATCH($B296,Productos!$A$5:$A$124,0)),"")</f>
        <v/>
      </c>
      <c r="E296" s="64" t="n"/>
      <c r="F296" s="70">
        <f>IF($B296="",0,SUMIFS(Ventas!$F$5:$F$504,Ventas!$B$5:$B$504,$A296,Ventas!$C$5:$C$504,$B296))</f>
        <v/>
      </c>
      <c r="G296" s="71">
        <f>IF($B296="",0,SUMIFS(Ventas!$L$5:$L$504,Ventas!$B$5:$B$504,$A296,Ventas!$C$5:$C$504,$B296))</f>
        <v/>
      </c>
      <c r="H296" s="71">
        <f>IF($B296="",0,SUMIFS(Ventas!$P$5:$P$504,Ventas!$B$5:$B$504,$A296,Ventas!$C$5:$C$504,$B296))</f>
        <v/>
      </c>
      <c r="I296" s="72">
        <f>IF($F296=0,0,$F296/Inicio!$C$22)</f>
        <v/>
      </c>
      <c r="J296" s="73">
        <f>IF($I296=0,"",ROUND($E296/$I296,0))</f>
        <v/>
      </c>
      <c r="K296" s="71">
        <f>IF($B296="",0,$E296*IFERROR(INDEX(Productos!$G$5:$G$124,MATCH($B296,Productos!$A$5:$A$124,0)),0))</f>
        <v/>
      </c>
      <c r="L296" s="71">
        <f>IF($K296=0,0,$K296*Inicio!$C$25/365*Inicio!$C$22)</f>
        <v/>
      </c>
      <c r="M296" s="73">
        <f>IF($B296="","",IF(SUMIF($B$5:$B$304,$B296,$F$5:$F$304)=0,"",ROUND(SUMIF($B$5:$B$304,$B296,$E$5:$E$304)/(SUMIF($B$5:$B$304,$B296,$F$5:$F$304)/Inicio!$C$22),0)))</f>
        <v/>
      </c>
      <c r="N296" s="74">
        <f>IF($B296="","",IF(AND($E296&lt;=0,$F296&gt;0),"QUIEBRE",IF(AND($F296=0,$E296&gt;0),"SIN ROTACIÓN",IF($J296="","",IF($J296&lt;Inicio!$C$23,"RIESGO DE QUIEBRE",IF($J296&gt;Inicio!$C$24*1.5,"EXCESO","SANO"))))))</f>
        <v/>
      </c>
      <c r="O296" s="74">
        <f>IF($M296="","",IF($J296="","",IF($J296&gt;2*$M296,"ENVIAR a otra tienda",IF($J296&lt;0.5*$M296,"PEDIR traslado","—"))))</f>
        <v/>
      </c>
    </row>
    <row r="297" ht="15" customHeight="1" s="47">
      <c r="A297" s="64" t="n"/>
      <c r="B297" s="64" t="n"/>
      <c r="C297" s="59">
        <f>IFERROR(INDEX(Productos!$B$5:$B$124,MATCH($B297,Productos!$A$5:$A$124,0)),"")</f>
        <v/>
      </c>
      <c r="D297" s="59">
        <f>IFERROR(INDEX(Productos!$D$5:$D$124,MATCH($B297,Productos!$A$5:$A$124,0)),"")</f>
        <v/>
      </c>
      <c r="E297" s="64" t="n"/>
      <c r="F297" s="70">
        <f>IF($B297="",0,SUMIFS(Ventas!$F$5:$F$504,Ventas!$B$5:$B$504,$A297,Ventas!$C$5:$C$504,$B297))</f>
        <v/>
      </c>
      <c r="G297" s="71">
        <f>IF($B297="",0,SUMIFS(Ventas!$L$5:$L$504,Ventas!$B$5:$B$504,$A297,Ventas!$C$5:$C$504,$B297))</f>
        <v/>
      </c>
      <c r="H297" s="71">
        <f>IF($B297="",0,SUMIFS(Ventas!$P$5:$P$504,Ventas!$B$5:$B$504,$A297,Ventas!$C$5:$C$504,$B297))</f>
        <v/>
      </c>
      <c r="I297" s="72">
        <f>IF($F297=0,0,$F297/Inicio!$C$22)</f>
        <v/>
      </c>
      <c r="J297" s="73">
        <f>IF($I297=0,"",ROUND($E297/$I297,0))</f>
        <v/>
      </c>
      <c r="K297" s="71">
        <f>IF($B297="",0,$E297*IFERROR(INDEX(Productos!$G$5:$G$124,MATCH($B297,Productos!$A$5:$A$124,0)),0))</f>
        <v/>
      </c>
      <c r="L297" s="71">
        <f>IF($K297=0,0,$K297*Inicio!$C$25/365*Inicio!$C$22)</f>
        <v/>
      </c>
      <c r="M297" s="73">
        <f>IF($B297="","",IF(SUMIF($B$5:$B$304,$B297,$F$5:$F$304)=0,"",ROUND(SUMIF($B$5:$B$304,$B297,$E$5:$E$304)/(SUMIF($B$5:$B$304,$B297,$F$5:$F$304)/Inicio!$C$22),0)))</f>
        <v/>
      </c>
      <c r="N297" s="74">
        <f>IF($B297="","",IF(AND($E297&lt;=0,$F297&gt;0),"QUIEBRE",IF(AND($F297=0,$E297&gt;0),"SIN ROTACIÓN",IF($J297="","",IF($J297&lt;Inicio!$C$23,"RIESGO DE QUIEBRE",IF($J297&gt;Inicio!$C$24*1.5,"EXCESO","SANO"))))))</f>
        <v/>
      </c>
      <c r="O297" s="74">
        <f>IF($M297="","",IF($J297="","",IF($J297&gt;2*$M297,"ENVIAR a otra tienda",IF($J297&lt;0.5*$M297,"PEDIR traslado","—"))))</f>
        <v/>
      </c>
    </row>
    <row r="298" ht="15" customHeight="1" s="47">
      <c r="A298" s="64" t="n"/>
      <c r="B298" s="64" t="n"/>
      <c r="C298" s="59">
        <f>IFERROR(INDEX(Productos!$B$5:$B$124,MATCH($B298,Productos!$A$5:$A$124,0)),"")</f>
        <v/>
      </c>
      <c r="D298" s="59">
        <f>IFERROR(INDEX(Productos!$D$5:$D$124,MATCH($B298,Productos!$A$5:$A$124,0)),"")</f>
        <v/>
      </c>
      <c r="E298" s="64" t="n"/>
      <c r="F298" s="70">
        <f>IF($B298="",0,SUMIFS(Ventas!$F$5:$F$504,Ventas!$B$5:$B$504,$A298,Ventas!$C$5:$C$504,$B298))</f>
        <v/>
      </c>
      <c r="G298" s="71">
        <f>IF($B298="",0,SUMIFS(Ventas!$L$5:$L$504,Ventas!$B$5:$B$504,$A298,Ventas!$C$5:$C$504,$B298))</f>
        <v/>
      </c>
      <c r="H298" s="71">
        <f>IF($B298="",0,SUMIFS(Ventas!$P$5:$P$504,Ventas!$B$5:$B$504,$A298,Ventas!$C$5:$C$504,$B298))</f>
        <v/>
      </c>
      <c r="I298" s="72">
        <f>IF($F298=0,0,$F298/Inicio!$C$22)</f>
        <v/>
      </c>
      <c r="J298" s="73">
        <f>IF($I298=0,"",ROUND($E298/$I298,0))</f>
        <v/>
      </c>
      <c r="K298" s="71">
        <f>IF($B298="",0,$E298*IFERROR(INDEX(Productos!$G$5:$G$124,MATCH($B298,Productos!$A$5:$A$124,0)),0))</f>
        <v/>
      </c>
      <c r="L298" s="71">
        <f>IF($K298=0,0,$K298*Inicio!$C$25/365*Inicio!$C$22)</f>
        <v/>
      </c>
      <c r="M298" s="73">
        <f>IF($B298="","",IF(SUMIF($B$5:$B$304,$B298,$F$5:$F$304)=0,"",ROUND(SUMIF($B$5:$B$304,$B298,$E$5:$E$304)/(SUMIF($B$5:$B$304,$B298,$F$5:$F$304)/Inicio!$C$22),0)))</f>
        <v/>
      </c>
      <c r="N298" s="74">
        <f>IF($B298="","",IF(AND($E298&lt;=0,$F298&gt;0),"QUIEBRE",IF(AND($F298=0,$E298&gt;0),"SIN ROTACIÓN",IF($J298="","",IF($J298&lt;Inicio!$C$23,"RIESGO DE QUIEBRE",IF($J298&gt;Inicio!$C$24*1.5,"EXCESO","SANO"))))))</f>
        <v/>
      </c>
      <c r="O298" s="74">
        <f>IF($M298="","",IF($J298="","",IF($J298&gt;2*$M298,"ENVIAR a otra tienda",IF($J298&lt;0.5*$M298,"PEDIR traslado","—"))))</f>
        <v/>
      </c>
    </row>
    <row r="299" ht="15" customHeight="1" s="47">
      <c r="A299" s="64" t="n"/>
      <c r="B299" s="64" t="n"/>
      <c r="C299" s="59">
        <f>IFERROR(INDEX(Productos!$B$5:$B$124,MATCH($B299,Productos!$A$5:$A$124,0)),"")</f>
        <v/>
      </c>
      <c r="D299" s="59">
        <f>IFERROR(INDEX(Productos!$D$5:$D$124,MATCH($B299,Productos!$A$5:$A$124,0)),"")</f>
        <v/>
      </c>
      <c r="E299" s="64" t="n"/>
      <c r="F299" s="70">
        <f>IF($B299="",0,SUMIFS(Ventas!$F$5:$F$504,Ventas!$B$5:$B$504,$A299,Ventas!$C$5:$C$504,$B299))</f>
        <v/>
      </c>
      <c r="G299" s="71">
        <f>IF($B299="",0,SUMIFS(Ventas!$L$5:$L$504,Ventas!$B$5:$B$504,$A299,Ventas!$C$5:$C$504,$B299))</f>
        <v/>
      </c>
      <c r="H299" s="71">
        <f>IF($B299="",0,SUMIFS(Ventas!$P$5:$P$504,Ventas!$B$5:$B$504,$A299,Ventas!$C$5:$C$504,$B299))</f>
        <v/>
      </c>
      <c r="I299" s="72">
        <f>IF($F299=0,0,$F299/Inicio!$C$22)</f>
        <v/>
      </c>
      <c r="J299" s="73">
        <f>IF($I299=0,"",ROUND($E299/$I299,0))</f>
        <v/>
      </c>
      <c r="K299" s="71">
        <f>IF($B299="",0,$E299*IFERROR(INDEX(Productos!$G$5:$G$124,MATCH($B299,Productos!$A$5:$A$124,0)),0))</f>
        <v/>
      </c>
      <c r="L299" s="71">
        <f>IF($K299=0,0,$K299*Inicio!$C$25/365*Inicio!$C$22)</f>
        <v/>
      </c>
      <c r="M299" s="73">
        <f>IF($B299="","",IF(SUMIF($B$5:$B$304,$B299,$F$5:$F$304)=0,"",ROUND(SUMIF($B$5:$B$304,$B299,$E$5:$E$304)/(SUMIF($B$5:$B$304,$B299,$F$5:$F$304)/Inicio!$C$22),0)))</f>
        <v/>
      </c>
      <c r="N299" s="74">
        <f>IF($B299="","",IF(AND($E299&lt;=0,$F299&gt;0),"QUIEBRE",IF(AND($F299=0,$E299&gt;0),"SIN ROTACIÓN",IF($J299="","",IF($J299&lt;Inicio!$C$23,"RIESGO DE QUIEBRE",IF($J299&gt;Inicio!$C$24*1.5,"EXCESO","SANO"))))))</f>
        <v/>
      </c>
      <c r="O299" s="74">
        <f>IF($M299="","",IF($J299="","",IF($J299&gt;2*$M299,"ENVIAR a otra tienda",IF($J299&lt;0.5*$M299,"PEDIR traslado","—"))))</f>
        <v/>
      </c>
    </row>
    <row r="300" ht="15" customHeight="1" s="47">
      <c r="A300" s="64" t="n"/>
      <c r="B300" s="64" t="n"/>
      <c r="C300" s="59">
        <f>IFERROR(INDEX(Productos!$B$5:$B$124,MATCH($B300,Productos!$A$5:$A$124,0)),"")</f>
        <v/>
      </c>
      <c r="D300" s="59">
        <f>IFERROR(INDEX(Productos!$D$5:$D$124,MATCH($B300,Productos!$A$5:$A$124,0)),"")</f>
        <v/>
      </c>
      <c r="E300" s="64" t="n"/>
      <c r="F300" s="70">
        <f>IF($B300="",0,SUMIFS(Ventas!$F$5:$F$504,Ventas!$B$5:$B$504,$A300,Ventas!$C$5:$C$504,$B300))</f>
        <v/>
      </c>
      <c r="G300" s="71">
        <f>IF($B300="",0,SUMIFS(Ventas!$L$5:$L$504,Ventas!$B$5:$B$504,$A300,Ventas!$C$5:$C$504,$B300))</f>
        <v/>
      </c>
      <c r="H300" s="71">
        <f>IF($B300="",0,SUMIFS(Ventas!$P$5:$P$504,Ventas!$B$5:$B$504,$A300,Ventas!$C$5:$C$504,$B300))</f>
        <v/>
      </c>
      <c r="I300" s="72">
        <f>IF($F300=0,0,$F300/Inicio!$C$22)</f>
        <v/>
      </c>
      <c r="J300" s="73">
        <f>IF($I300=0,"",ROUND($E300/$I300,0))</f>
        <v/>
      </c>
      <c r="K300" s="71">
        <f>IF($B300="",0,$E300*IFERROR(INDEX(Productos!$G$5:$G$124,MATCH($B300,Productos!$A$5:$A$124,0)),0))</f>
        <v/>
      </c>
      <c r="L300" s="71">
        <f>IF($K300=0,0,$K300*Inicio!$C$25/365*Inicio!$C$22)</f>
        <v/>
      </c>
      <c r="M300" s="73">
        <f>IF($B300="","",IF(SUMIF($B$5:$B$304,$B300,$F$5:$F$304)=0,"",ROUND(SUMIF($B$5:$B$304,$B300,$E$5:$E$304)/(SUMIF($B$5:$B$304,$B300,$F$5:$F$304)/Inicio!$C$22),0)))</f>
        <v/>
      </c>
      <c r="N300" s="74">
        <f>IF($B300="","",IF(AND($E300&lt;=0,$F300&gt;0),"QUIEBRE",IF(AND($F300=0,$E300&gt;0),"SIN ROTACIÓN",IF($J300="","",IF($J300&lt;Inicio!$C$23,"RIESGO DE QUIEBRE",IF($J300&gt;Inicio!$C$24*1.5,"EXCESO","SANO"))))))</f>
        <v/>
      </c>
      <c r="O300" s="74">
        <f>IF($M300="","",IF($J300="","",IF($J300&gt;2*$M300,"ENVIAR a otra tienda",IF($J300&lt;0.5*$M300,"PEDIR traslado","—"))))</f>
        <v/>
      </c>
    </row>
    <row r="301" ht="15" customHeight="1" s="47">
      <c r="A301" s="64" t="n"/>
      <c r="B301" s="64" t="n"/>
      <c r="C301" s="59">
        <f>IFERROR(INDEX(Productos!$B$5:$B$124,MATCH($B301,Productos!$A$5:$A$124,0)),"")</f>
        <v/>
      </c>
      <c r="D301" s="59">
        <f>IFERROR(INDEX(Productos!$D$5:$D$124,MATCH($B301,Productos!$A$5:$A$124,0)),"")</f>
        <v/>
      </c>
      <c r="E301" s="64" t="n"/>
      <c r="F301" s="70">
        <f>IF($B301="",0,SUMIFS(Ventas!$F$5:$F$504,Ventas!$B$5:$B$504,$A301,Ventas!$C$5:$C$504,$B301))</f>
        <v/>
      </c>
      <c r="G301" s="71">
        <f>IF($B301="",0,SUMIFS(Ventas!$L$5:$L$504,Ventas!$B$5:$B$504,$A301,Ventas!$C$5:$C$504,$B301))</f>
        <v/>
      </c>
      <c r="H301" s="71">
        <f>IF($B301="",0,SUMIFS(Ventas!$P$5:$P$504,Ventas!$B$5:$B$504,$A301,Ventas!$C$5:$C$504,$B301))</f>
        <v/>
      </c>
      <c r="I301" s="72">
        <f>IF($F301=0,0,$F301/Inicio!$C$22)</f>
        <v/>
      </c>
      <c r="J301" s="73">
        <f>IF($I301=0,"",ROUND($E301/$I301,0))</f>
        <v/>
      </c>
      <c r="K301" s="71">
        <f>IF($B301="",0,$E301*IFERROR(INDEX(Productos!$G$5:$G$124,MATCH($B301,Productos!$A$5:$A$124,0)),0))</f>
        <v/>
      </c>
      <c r="L301" s="71">
        <f>IF($K301=0,0,$K301*Inicio!$C$25/365*Inicio!$C$22)</f>
        <v/>
      </c>
      <c r="M301" s="73">
        <f>IF($B301="","",IF(SUMIF($B$5:$B$304,$B301,$F$5:$F$304)=0,"",ROUND(SUMIF($B$5:$B$304,$B301,$E$5:$E$304)/(SUMIF($B$5:$B$304,$B301,$F$5:$F$304)/Inicio!$C$22),0)))</f>
        <v/>
      </c>
      <c r="N301" s="74">
        <f>IF($B301="","",IF(AND($E301&lt;=0,$F301&gt;0),"QUIEBRE",IF(AND($F301=0,$E301&gt;0),"SIN ROTACIÓN",IF($J301="","",IF($J301&lt;Inicio!$C$23,"RIESGO DE QUIEBRE",IF($J301&gt;Inicio!$C$24*1.5,"EXCESO","SANO"))))))</f>
        <v/>
      </c>
      <c r="O301" s="74">
        <f>IF($M301="","",IF($J301="","",IF($J301&gt;2*$M301,"ENVIAR a otra tienda",IF($J301&lt;0.5*$M301,"PEDIR traslado","—"))))</f>
        <v/>
      </c>
    </row>
    <row r="302" ht="15" customHeight="1" s="47">
      <c r="A302" s="64" t="n"/>
      <c r="B302" s="64" t="n"/>
      <c r="C302" s="59">
        <f>IFERROR(INDEX(Productos!$B$5:$B$124,MATCH($B302,Productos!$A$5:$A$124,0)),"")</f>
        <v/>
      </c>
      <c r="D302" s="59">
        <f>IFERROR(INDEX(Productos!$D$5:$D$124,MATCH($B302,Productos!$A$5:$A$124,0)),"")</f>
        <v/>
      </c>
      <c r="E302" s="64" t="n"/>
      <c r="F302" s="70">
        <f>IF($B302="",0,SUMIFS(Ventas!$F$5:$F$504,Ventas!$B$5:$B$504,$A302,Ventas!$C$5:$C$504,$B302))</f>
        <v/>
      </c>
      <c r="G302" s="71">
        <f>IF($B302="",0,SUMIFS(Ventas!$L$5:$L$504,Ventas!$B$5:$B$504,$A302,Ventas!$C$5:$C$504,$B302))</f>
        <v/>
      </c>
      <c r="H302" s="71">
        <f>IF($B302="",0,SUMIFS(Ventas!$P$5:$P$504,Ventas!$B$5:$B$504,$A302,Ventas!$C$5:$C$504,$B302))</f>
        <v/>
      </c>
      <c r="I302" s="72">
        <f>IF($F302=0,0,$F302/Inicio!$C$22)</f>
        <v/>
      </c>
      <c r="J302" s="73">
        <f>IF($I302=0,"",ROUND($E302/$I302,0))</f>
        <v/>
      </c>
      <c r="K302" s="71">
        <f>IF($B302="",0,$E302*IFERROR(INDEX(Productos!$G$5:$G$124,MATCH($B302,Productos!$A$5:$A$124,0)),0))</f>
        <v/>
      </c>
      <c r="L302" s="71">
        <f>IF($K302=0,0,$K302*Inicio!$C$25/365*Inicio!$C$22)</f>
        <v/>
      </c>
      <c r="M302" s="73">
        <f>IF($B302="","",IF(SUMIF($B$5:$B$304,$B302,$F$5:$F$304)=0,"",ROUND(SUMIF($B$5:$B$304,$B302,$E$5:$E$304)/(SUMIF($B$5:$B$304,$B302,$F$5:$F$304)/Inicio!$C$22),0)))</f>
        <v/>
      </c>
      <c r="N302" s="74">
        <f>IF($B302="","",IF(AND($E302&lt;=0,$F302&gt;0),"QUIEBRE",IF(AND($F302=0,$E302&gt;0),"SIN ROTACIÓN",IF($J302="","",IF($J302&lt;Inicio!$C$23,"RIESGO DE QUIEBRE",IF($J302&gt;Inicio!$C$24*1.5,"EXCESO","SANO"))))))</f>
        <v/>
      </c>
      <c r="O302" s="74">
        <f>IF($M302="","",IF($J302="","",IF($J302&gt;2*$M302,"ENVIAR a otra tienda",IF($J302&lt;0.5*$M302,"PEDIR traslado","—"))))</f>
        <v/>
      </c>
    </row>
    <row r="303" ht="15" customHeight="1" s="47">
      <c r="A303" s="64" t="n"/>
      <c r="B303" s="64" t="n"/>
      <c r="C303" s="59">
        <f>IFERROR(INDEX(Productos!$B$5:$B$124,MATCH($B303,Productos!$A$5:$A$124,0)),"")</f>
        <v/>
      </c>
      <c r="D303" s="59">
        <f>IFERROR(INDEX(Productos!$D$5:$D$124,MATCH($B303,Productos!$A$5:$A$124,0)),"")</f>
        <v/>
      </c>
      <c r="E303" s="64" t="n"/>
      <c r="F303" s="70">
        <f>IF($B303="",0,SUMIFS(Ventas!$F$5:$F$504,Ventas!$B$5:$B$504,$A303,Ventas!$C$5:$C$504,$B303))</f>
        <v/>
      </c>
      <c r="G303" s="71">
        <f>IF($B303="",0,SUMIFS(Ventas!$L$5:$L$504,Ventas!$B$5:$B$504,$A303,Ventas!$C$5:$C$504,$B303))</f>
        <v/>
      </c>
      <c r="H303" s="71">
        <f>IF($B303="",0,SUMIFS(Ventas!$P$5:$P$504,Ventas!$B$5:$B$504,$A303,Ventas!$C$5:$C$504,$B303))</f>
        <v/>
      </c>
      <c r="I303" s="72">
        <f>IF($F303=0,0,$F303/Inicio!$C$22)</f>
        <v/>
      </c>
      <c r="J303" s="73">
        <f>IF($I303=0,"",ROUND($E303/$I303,0))</f>
        <v/>
      </c>
      <c r="K303" s="71">
        <f>IF($B303="",0,$E303*IFERROR(INDEX(Productos!$G$5:$G$124,MATCH($B303,Productos!$A$5:$A$124,0)),0))</f>
        <v/>
      </c>
      <c r="L303" s="71">
        <f>IF($K303=0,0,$K303*Inicio!$C$25/365*Inicio!$C$22)</f>
        <v/>
      </c>
      <c r="M303" s="73">
        <f>IF($B303="","",IF(SUMIF($B$5:$B$304,$B303,$F$5:$F$304)=0,"",ROUND(SUMIF($B$5:$B$304,$B303,$E$5:$E$304)/(SUMIF($B$5:$B$304,$B303,$F$5:$F$304)/Inicio!$C$22),0)))</f>
        <v/>
      </c>
      <c r="N303" s="74">
        <f>IF($B303="","",IF(AND($E303&lt;=0,$F303&gt;0),"QUIEBRE",IF(AND($F303=0,$E303&gt;0),"SIN ROTACIÓN",IF($J303="","",IF($J303&lt;Inicio!$C$23,"RIESGO DE QUIEBRE",IF($J303&gt;Inicio!$C$24*1.5,"EXCESO","SANO"))))))</f>
        <v/>
      </c>
      <c r="O303" s="74">
        <f>IF($M303="","",IF($J303="","",IF($J303&gt;2*$M303,"ENVIAR a otra tienda",IF($J303&lt;0.5*$M303,"PEDIR traslado","—"))))</f>
        <v/>
      </c>
    </row>
    <row r="304" ht="15" customHeight="1" s="47">
      <c r="A304" s="64" t="n"/>
      <c r="B304" s="64" t="n"/>
      <c r="C304" s="59">
        <f>IFERROR(INDEX(Productos!$B$5:$B$124,MATCH($B304,Productos!$A$5:$A$124,0)),"")</f>
        <v/>
      </c>
      <c r="D304" s="59">
        <f>IFERROR(INDEX(Productos!$D$5:$D$124,MATCH($B304,Productos!$A$5:$A$124,0)),"")</f>
        <v/>
      </c>
      <c r="E304" s="64" t="n"/>
      <c r="F304" s="70">
        <f>IF($B304="",0,SUMIFS(Ventas!$F$5:$F$504,Ventas!$B$5:$B$504,$A304,Ventas!$C$5:$C$504,$B304))</f>
        <v/>
      </c>
      <c r="G304" s="71">
        <f>IF($B304="",0,SUMIFS(Ventas!$L$5:$L$504,Ventas!$B$5:$B$504,$A304,Ventas!$C$5:$C$504,$B304))</f>
        <v/>
      </c>
      <c r="H304" s="71">
        <f>IF($B304="",0,SUMIFS(Ventas!$P$5:$P$504,Ventas!$B$5:$B$504,$A304,Ventas!$C$5:$C$504,$B304))</f>
        <v/>
      </c>
      <c r="I304" s="72">
        <f>IF($F304=0,0,$F304/Inicio!$C$22)</f>
        <v/>
      </c>
      <c r="J304" s="73">
        <f>IF($I304=0,"",ROUND($E304/$I304,0))</f>
        <v/>
      </c>
      <c r="K304" s="71">
        <f>IF($B304="",0,$E304*IFERROR(INDEX(Productos!$G$5:$G$124,MATCH($B304,Productos!$A$5:$A$124,0)),0))</f>
        <v/>
      </c>
      <c r="L304" s="71">
        <f>IF($K304=0,0,$K304*Inicio!$C$25/365*Inicio!$C$22)</f>
        <v/>
      </c>
      <c r="M304" s="73">
        <f>IF($B304="","",IF(SUMIF($B$5:$B$304,$B304,$F$5:$F$304)=0,"",ROUND(SUMIF($B$5:$B$304,$B304,$E$5:$E$304)/(SUMIF($B$5:$B$304,$B304,$F$5:$F$304)/Inicio!$C$22),0)))</f>
        <v/>
      </c>
      <c r="N304" s="74">
        <f>IF($B304="","",IF(AND($E304&lt;=0,$F304&gt;0),"QUIEBRE",IF(AND($F304=0,$E304&gt;0),"SIN ROTACIÓN",IF($J304="","",IF($J304&lt;Inicio!$C$23,"RIESGO DE QUIEBRE",IF($J304&gt;Inicio!$C$24*1.5,"EXCESO","SANO"))))))</f>
        <v/>
      </c>
      <c r="O304" s="74">
        <f>IF($M304="","",IF($J304="","",IF($J304&gt;2*$M304,"ENVIAR a otra tienda",IF($J304&lt;0.5*$M304,"PEDIR traslado","—"))))</f>
        <v/>
      </c>
    </row>
    <row r="306" ht="19.4" customHeight="1" s="47">
      <c r="A306" s="62" t="inlineStr">
        <is>
          <t>La fila 5 es un ejemplo: bórrela. «Cobertura de la cadena» es cuántos días dura el stock de ese SKU sumando todas las tiendas; si una tienda tiene más del doble de esa cobertura, le sobra, y si tiene menos de la mitad, le falta. RIESGO DE QUIEBRE = el stock no alcanza a cubrir el plazo de entrega del fabricante.</t>
        </is>
      </c>
    </row>
  </sheetData>
  <mergeCells count="3">
    <mergeCell ref="A306:J306"/>
    <mergeCell ref="A1:O1"/>
    <mergeCell ref="A2:O2"/>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5.xml><?xml version="1.0" encoding="utf-8"?>
<worksheet xmlns="http://schemas.openxmlformats.org/spreadsheetml/2006/main">
  <sheetPr filterMode="0">
    <outlinePr summaryBelow="1" summaryRight="1"/>
    <pageSetUpPr fitToPage="0"/>
  </sheetPr>
  <dimension ref="A1:Q506"/>
  <sheetViews>
    <sheetView showFormulas="0" showGridLines="0" showRowColHeaders="1" showZeros="1" rightToLeft="0" tabSelected="0" showOutlineSymbols="1" defaultGridColor="1"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baseColWidth="8" defaultColWidth="8.6796875" defaultRowHeight="15" customHeight="0" zeroHeight="0" outlineLevelRow="0"/>
  <cols>
    <col width="11" customWidth="1" style="46" min="1" max="1"/>
    <col width="10" customWidth="1" style="46" min="2" max="2"/>
    <col width="12" customWidth="1" style="46" min="3" max="3"/>
    <col width="30" customWidth="1" style="46" min="4" max="4"/>
    <col width="16" customWidth="1" style="46" min="5" max="5"/>
    <col width="10" customWidth="1" style="46" min="6" max="6"/>
    <col width="14" customWidth="1" style="46" min="7" max="7"/>
    <col width="11" customWidth="1" style="46" min="8" max="8"/>
    <col width="14" customWidth="1" style="46" min="9" max="9"/>
    <col width="16" customWidth="1" style="46" min="10" max="10"/>
    <col width="14" customWidth="1" style="46" min="11" max="11"/>
    <col width="15" customWidth="1" style="46" min="12" max="12"/>
    <col width="16" customWidth="1" style="46" min="13" max="13"/>
    <col width="15" customWidth="1" style="46" min="14" max="15"/>
    <col width="16" customWidth="1" style="46" min="16" max="16"/>
    <col width="12" customWidth="1" style="46" min="17" max="17"/>
  </cols>
  <sheetData>
    <row r="1" ht="30" customHeight="1" s="47">
      <c r="A1" s="48" t="inlineStr">
        <is>
          <t>ADIMCLO  ·  Registro de ventas</t>
        </is>
      </c>
    </row>
    <row r="2" ht="18" customHeight="1" s="47">
      <c r="A2" s="49" t="inlineStr">
        <is>
          <t>Escriba fecha, tienda, SKU, cantidad, descuento y forma de pago. Lo demás se calcula solo.</t>
        </is>
      </c>
    </row>
    <row r="4" ht="30" customHeight="1" s="47">
      <c r="A4" s="63" t="inlineStr">
        <is>
          <t>Fecha</t>
        </is>
      </c>
      <c r="B4" s="63" t="inlineStr">
        <is>
          <t>Tienda</t>
        </is>
      </c>
      <c r="C4" s="63" t="inlineStr">
        <is>
          <t>SKU</t>
        </is>
      </c>
      <c r="D4" s="63" t="inlineStr">
        <is>
          <t>Descripción</t>
        </is>
      </c>
      <c r="E4" s="63" t="inlineStr">
        <is>
          <t>Marca</t>
        </is>
      </c>
      <c r="F4" s="63" t="inlineStr">
        <is>
          <t>Cantidad</t>
        </is>
      </c>
      <c r="G4" s="63" t="inlineStr">
        <is>
          <t>Precio de lista</t>
        </is>
      </c>
      <c r="H4" s="63" t="inlineStr">
        <is>
          <t>Descuento %</t>
        </is>
      </c>
      <c r="I4" s="63" t="inlineStr">
        <is>
          <t>Precio neto</t>
        </is>
      </c>
      <c r="J4" s="63" t="inlineStr">
        <is>
          <t>Forma de pago</t>
        </is>
      </c>
      <c r="K4" s="63" t="inlineStr">
        <is>
          <t>Costo de la forma de pago %</t>
        </is>
      </c>
      <c r="L4" s="63" t="inlineStr">
        <is>
          <t>Venta neta</t>
        </is>
      </c>
      <c r="M4" s="63" t="inlineStr">
        <is>
          <t>Costo de la mercancía</t>
        </is>
      </c>
      <c r="N4" s="63" t="inlineStr">
        <is>
          <t>Costo de financiación $</t>
        </is>
      </c>
      <c r="O4" s="63" t="inlineStr">
        <is>
          <t>Margen bruto $</t>
        </is>
      </c>
      <c r="P4" s="63" t="inlineStr">
        <is>
          <t>Margen después de financiación</t>
        </is>
      </c>
      <c r="Q4" s="63" t="inlineStr">
        <is>
          <t>Margen final %</t>
        </is>
      </c>
    </row>
    <row r="5" ht="15" customHeight="1" s="47">
      <c r="A5" s="183" t="n">
        <v>46204</v>
      </c>
      <c r="B5" s="182" t="inlineStr">
        <is>
          <t>T01</t>
        </is>
      </c>
      <c r="C5" s="182" t="inlineStr">
        <is>
          <t>EL-001</t>
        </is>
      </c>
      <c r="D5" s="59">
        <f>IFERROR(INDEX(Productos!$B$5:$B$124,MATCH($C5,Productos!$A$5:$A$124,0)),"")</f>
        <v/>
      </c>
      <c r="E5" s="59">
        <f>IFERROR(INDEX(Productos!$D$5:$D$124,MATCH($C5,Productos!$A$5:$A$124,0)),"")</f>
        <v/>
      </c>
      <c r="F5" s="186" t="n">
        <v>1</v>
      </c>
      <c r="G5" s="68">
        <f>IFERROR(INDEX(Productos!$H$5:$H$124,MATCH($C5,Productos!$A$5:$A$124,0)),"")</f>
        <v/>
      </c>
      <c r="H5" s="185" t="n">
        <v>0</v>
      </c>
      <c r="I5" s="68">
        <f>IFERROR($G5*(1-$H5),"")</f>
        <v/>
      </c>
      <c r="J5" s="182" t="inlineStr">
        <is>
          <t>Contado</t>
        </is>
      </c>
      <c r="K5" s="69">
        <f>IF($J5="",0,IF($J5="Contado",Inicio!$C$26,IF($J5="Tarjeta",Inicio!$C$27,IF($J5="Crédito propio",Inicio!$C$28,0))))</f>
        <v/>
      </c>
      <c r="L5" s="68">
        <f>IFERROR($F5*$I5,"")</f>
        <v/>
      </c>
      <c r="M5" s="68">
        <f>IFERROR($F5*INDEX(Productos!$G$5:$G$124,MATCH($C5,Productos!$A$5:$A$124,0)),"")</f>
        <v/>
      </c>
      <c r="N5" s="68">
        <f>IFERROR($L5*$K5,"")</f>
        <v/>
      </c>
      <c r="O5" s="68">
        <f>IFERROR($L5-$M5,"")</f>
        <v/>
      </c>
      <c r="P5" s="68">
        <f>IFERROR($O5-$N5,"")</f>
        <v/>
      </c>
      <c r="Q5" s="69">
        <f>IFERROR($P5/$L5,"")</f>
        <v/>
      </c>
    </row>
    <row r="6" ht="15" customHeight="1" s="47">
      <c r="A6" s="183" t="n">
        <v>46204</v>
      </c>
      <c r="B6" s="182" t="inlineStr">
        <is>
          <t>T01</t>
        </is>
      </c>
      <c r="C6" s="182" t="inlineStr">
        <is>
          <t>EL-002</t>
        </is>
      </c>
      <c r="D6" s="59">
        <f>IFERROR(INDEX(Productos!$B$5:$B$124,MATCH($C6,Productos!$A$5:$A$124,0)),"")</f>
        <v/>
      </c>
      <c r="E6" s="59">
        <f>IFERROR(INDEX(Productos!$D$5:$D$124,MATCH($C6,Productos!$A$5:$A$124,0)),"")</f>
        <v/>
      </c>
      <c r="F6" s="186" t="n">
        <v>1</v>
      </c>
      <c r="G6" s="68">
        <f>IFERROR(INDEX(Productos!$H$5:$H$124,MATCH($C6,Productos!$A$5:$A$124,0)),"")</f>
        <v/>
      </c>
      <c r="H6" s="185" t="n">
        <v>0.0688405797101449</v>
      </c>
      <c r="I6" s="68">
        <f>IFERROR($G6*(1-$H6),"")</f>
        <v/>
      </c>
      <c r="J6" s="182" t="inlineStr">
        <is>
          <t>Crédito propio</t>
        </is>
      </c>
      <c r="K6" s="69">
        <f>IF($J6="",0,IF($J6="Contado",Inicio!$C$26,IF($J6="Tarjeta",Inicio!$C$27,IF($J6="Crédito propio",Inicio!$C$28,0))))</f>
        <v/>
      </c>
      <c r="L6" s="68">
        <f>IFERROR($F6*$I6,"")</f>
        <v/>
      </c>
      <c r="M6" s="68">
        <f>IFERROR($F6*INDEX(Productos!$G$5:$G$124,MATCH($C6,Productos!$A$5:$A$124,0)),"")</f>
        <v/>
      </c>
      <c r="N6" s="68">
        <f>IFERROR($L6*$K6,"")</f>
        <v/>
      </c>
      <c r="O6" s="68">
        <f>IFERROR($L6-$M6,"")</f>
        <v/>
      </c>
      <c r="P6" s="68">
        <f>IFERROR($O6-$N6,"")</f>
        <v/>
      </c>
      <c r="Q6" s="69">
        <f>IFERROR($P6/$L6,"")</f>
        <v/>
      </c>
    </row>
    <row r="7" ht="15" customHeight="1" s="47">
      <c r="A7" s="183" t="n">
        <v>46204</v>
      </c>
      <c r="B7" s="182" t="inlineStr">
        <is>
          <t>T01</t>
        </is>
      </c>
      <c r="C7" s="182" t="inlineStr">
        <is>
          <t>EL-003</t>
        </is>
      </c>
      <c r="D7" s="59">
        <f>IFERROR(INDEX(Productos!$B$5:$B$124,MATCH($C7,Productos!$A$5:$A$124,0)),"")</f>
        <v/>
      </c>
      <c r="E7" s="59">
        <f>IFERROR(INDEX(Productos!$D$5:$D$124,MATCH($C7,Productos!$A$5:$A$124,0)),"")</f>
        <v/>
      </c>
      <c r="F7" s="186" t="n">
        <v>1</v>
      </c>
      <c r="G7" s="68">
        <f>IFERROR(INDEX(Productos!$H$5:$H$124,MATCH($C7,Productos!$A$5:$A$124,0)),"")</f>
        <v/>
      </c>
      <c r="H7" s="185" t="n">
        <v>0.05</v>
      </c>
      <c r="I7" s="68">
        <f>IFERROR($G7*(1-$H7),"")</f>
        <v/>
      </c>
      <c r="J7" s="182" t="inlineStr">
        <is>
          <t>Crédito propio</t>
        </is>
      </c>
      <c r="K7" s="69">
        <f>IF($J7="",0,IF($J7="Contado",Inicio!$C$26,IF($J7="Tarjeta",Inicio!$C$27,IF($J7="Crédito propio",Inicio!$C$28,0))))</f>
        <v/>
      </c>
      <c r="L7" s="68">
        <f>IFERROR($F7*$I7,"")</f>
        <v/>
      </c>
      <c r="M7" s="68">
        <f>IFERROR($F7*INDEX(Productos!$G$5:$G$124,MATCH($C7,Productos!$A$5:$A$124,0)),"")</f>
        <v/>
      </c>
      <c r="N7" s="68">
        <f>IFERROR($L7*$K7,"")</f>
        <v/>
      </c>
      <c r="O7" s="68">
        <f>IFERROR($L7-$M7,"")</f>
        <v/>
      </c>
      <c r="P7" s="68">
        <f>IFERROR($O7-$N7,"")</f>
        <v/>
      </c>
      <c r="Q7" s="69">
        <f>IFERROR($P7/$L7,"")</f>
        <v/>
      </c>
    </row>
    <row r="8" ht="15" customHeight="1" s="47">
      <c r="A8" s="183" t="n">
        <v>46204</v>
      </c>
      <c r="B8" s="182" t="inlineStr">
        <is>
          <t>T01</t>
        </is>
      </c>
      <c r="C8" s="182" t="inlineStr">
        <is>
          <t>EL-006</t>
        </is>
      </c>
      <c r="D8" s="59">
        <f>IFERROR(INDEX(Productos!$B$5:$B$124,MATCH($C8,Productos!$A$5:$A$124,0)),"")</f>
        <v/>
      </c>
      <c r="E8" s="59">
        <f>IFERROR(INDEX(Productos!$D$5:$D$124,MATCH($C8,Productos!$A$5:$A$124,0)),"")</f>
        <v/>
      </c>
      <c r="F8" s="186" t="n">
        <v>1</v>
      </c>
      <c r="G8" s="68">
        <f>IFERROR(INDEX(Productos!$H$5:$H$124,MATCH($C8,Productos!$A$5:$A$124,0)),"")</f>
        <v/>
      </c>
      <c r="H8" s="185" t="n">
        <v>0</v>
      </c>
      <c r="I8" s="68">
        <f>IFERROR($G8*(1-$H8),"")</f>
        <v/>
      </c>
      <c r="J8" s="182" t="inlineStr">
        <is>
          <t>Crédito propio</t>
        </is>
      </c>
      <c r="K8" s="69">
        <f>IF($J8="",0,IF($J8="Contado",Inicio!$C$26,IF($J8="Tarjeta",Inicio!$C$27,IF($J8="Crédito propio",Inicio!$C$28,0))))</f>
        <v/>
      </c>
      <c r="L8" s="68">
        <f>IFERROR($F8*$I8,"")</f>
        <v/>
      </c>
      <c r="M8" s="68">
        <f>IFERROR($F8*INDEX(Productos!$G$5:$G$124,MATCH($C8,Productos!$A$5:$A$124,0)),"")</f>
        <v/>
      </c>
      <c r="N8" s="68">
        <f>IFERROR($L8*$K8,"")</f>
        <v/>
      </c>
      <c r="O8" s="68">
        <f>IFERROR($L8-$M8,"")</f>
        <v/>
      </c>
      <c r="P8" s="68">
        <f>IFERROR($O8-$N8,"")</f>
        <v/>
      </c>
      <c r="Q8" s="69">
        <f>IFERROR($P8/$L8,"")</f>
        <v/>
      </c>
    </row>
    <row r="9" ht="15" customHeight="1" s="47">
      <c r="A9" s="183" t="n">
        <v>46204</v>
      </c>
      <c r="B9" s="182" t="inlineStr">
        <is>
          <t>T01</t>
        </is>
      </c>
      <c r="C9" s="182" t="inlineStr">
        <is>
          <t>EL-007</t>
        </is>
      </c>
      <c r="D9" s="59">
        <f>IFERROR(INDEX(Productos!$B$5:$B$124,MATCH($C9,Productos!$A$5:$A$124,0)),"")</f>
        <v/>
      </c>
      <c r="E9" s="59">
        <f>IFERROR(INDEX(Productos!$D$5:$D$124,MATCH($C9,Productos!$A$5:$A$124,0)),"")</f>
        <v/>
      </c>
      <c r="F9" s="186" t="n">
        <v>1</v>
      </c>
      <c r="G9" s="68">
        <f>IFERROR(INDEX(Productos!$H$5:$H$124,MATCH($C9,Productos!$A$5:$A$124,0)),"")</f>
        <v/>
      </c>
      <c r="H9" s="185" t="n">
        <v>0.03</v>
      </c>
      <c r="I9" s="68">
        <f>IFERROR($G9*(1-$H9),"")</f>
        <v/>
      </c>
      <c r="J9" s="182" t="inlineStr">
        <is>
          <t>Contado</t>
        </is>
      </c>
      <c r="K9" s="69">
        <f>IF($J9="",0,IF($J9="Contado",Inicio!$C$26,IF($J9="Tarjeta",Inicio!$C$27,IF($J9="Crédito propio",Inicio!$C$28,0))))</f>
        <v/>
      </c>
      <c r="L9" s="68">
        <f>IFERROR($F9*$I9,"")</f>
        <v/>
      </c>
      <c r="M9" s="68">
        <f>IFERROR($F9*INDEX(Productos!$G$5:$G$124,MATCH($C9,Productos!$A$5:$A$124,0)),"")</f>
        <v/>
      </c>
      <c r="N9" s="68">
        <f>IFERROR($L9*$K9,"")</f>
        <v/>
      </c>
      <c r="O9" s="68">
        <f>IFERROR($L9-$M9,"")</f>
        <v/>
      </c>
      <c r="P9" s="68">
        <f>IFERROR($O9-$N9,"")</f>
        <v/>
      </c>
      <c r="Q9" s="69">
        <f>IFERROR($P9/$L9,"")</f>
        <v/>
      </c>
    </row>
    <row r="10" ht="15" customHeight="1" s="47">
      <c r="A10" s="183" t="n">
        <v>46204</v>
      </c>
      <c r="B10" s="182" t="inlineStr">
        <is>
          <t>T01</t>
        </is>
      </c>
      <c r="C10" s="182" t="inlineStr">
        <is>
          <t>EL-010</t>
        </is>
      </c>
      <c r="D10" s="59">
        <f>IFERROR(INDEX(Productos!$B$5:$B$124,MATCH($C10,Productos!$A$5:$A$124,0)),"")</f>
        <v/>
      </c>
      <c r="E10" s="59">
        <f>IFERROR(INDEX(Productos!$D$5:$D$124,MATCH($C10,Productos!$A$5:$A$124,0)),"")</f>
        <v/>
      </c>
      <c r="F10" s="186" t="n">
        <v>1</v>
      </c>
      <c r="G10" s="68">
        <f>IFERROR(INDEX(Productos!$H$5:$H$124,MATCH($C10,Productos!$A$5:$A$124,0)),"")</f>
        <v/>
      </c>
      <c r="H10" s="185" t="n">
        <v>0.06900000000000001</v>
      </c>
      <c r="I10" s="68">
        <f>IFERROR($G10*(1-$H10),"")</f>
        <v/>
      </c>
      <c r="J10" s="182" t="inlineStr">
        <is>
          <t>Tarjeta</t>
        </is>
      </c>
      <c r="K10" s="69">
        <f>IF($J10="",0,IF($J10="Contado",Inicio!$C$26,IF($J10="Tarjeta",Inicio!$C$27,IF($J10="Crédito propio",Inicio!$C$28,0))))</f>
        <v/>
      </c>
      <c r="L10" s="68">
        <f>IFERROR($F10*$I10,"")</f>
        <v/>
      </c>
      <c r="M10" s="68">
        <f>IFERROR($F10*INDEX(Productos!$G$5:$G$124,MATCH($C10,Productos!$A$5:$A$124,0)),"")</f>
        <v/>
      </c>
      <c r="N10" s="68">
        <f>IFERROR($L10*$K10,"")</f>
        <v/>
      </c>
      <c r="O10" s="68">
        <f>IFERROR($L10-$M10,"")</f>
        <v/>
      </c>
      <c r="P10" s="68">
        <f>IFERROR($O10-$N10,"")</f>
        <v/>
      </c>
      <c r="Q10" s="69">
        <f>IFERROR($P10/$L10,"")</f>
        <v/>
      </c>
    </row>
    <row r="11" ht="15" customHeight="1" s="47">
      <c r="A11" s="183" t="n">
        <v>46204</v>
      </c>
      <c r="B11" s="182" t="inlineStr">
        <is>
          <t>T01</t>
        </is>
      </c>
      <c r="C11" s="182" t="inlineStr">
        <is>
          <t>EL-013</t>
        </is>
      </c>
      <c r="D11" s="59">
        <f>IFERROR(INDEX(Productos!$B$5:$B$124,MATCH($C11,Productos!$A$5:$A$124,0)),"")</f>
        <v/>
      </c>
      <c r="E11" s="59">
        <f>IFERROR(INDEX(Productos!$D$5:$D$124,MATCH($C11,Productos!$A$5:$A$124,0)),"")</f>
        <v/>
      </c>
      <c r="F11" s="186" t="n">
        <v>1</v>
      </c>
      <c r="G11" s="68">
        <f>IFERROR(INDEX(Productos!$H$5:$H$124,MATCH($C11,Productos!$A$5:$A$124,0)),"")</f>
        <v/>
      </c>
      <c r="H11" s="185" t="n">
        <v>0.07000000000000001</v>
      </c>
      <c r="I11" s="68">
        <f>IFERROR($G11*(1-$H11),"")</f>
        <v/>
      </c>
      <c r="J11" s="182" t="inlineStr">
        <is>
          <t>Crédito propio</t>
        </is>
      </c>
      <c r="K11" s="69">
        <f>IF($J11="",0,IF($J11="Contado",Inicio!$C$26,IF($J11="Tarjeta",Inicio!$C$27,IF($J11="Crédito propio",Inicio!$C$28,0))))</f>
        <v/>
      </c>
      <c r="L11" s="68">
        <f>IFERROR($F11*$I11,"")</f>
        <v/>
      </c>
      <c r="M11" s="68">
        <f>IFERROR($F11*INDEX(Productos!$G$5:$G$124,MATCH($C11,Productos!$A$5:$A$124,0)),"")</f>
        <v/>
      </c>
      <c r="N11" s="68">
        <f>IFERROR($L11*$K11,"")</f>
        <v/>
      </c>
      <c r="O11" s="68">
        <f>IFERROR($L11-$M11,"")</f>
        <v/>
      </c>
      <c r="P11" s="68">
        <f>IFERROR($O11-$N11,"")</f>
        <v/>
      </c>
      <c r="Q11" s="69">
        <f>IFERROR($P11/$L11,"")</f>
        <v/>
      </c>
    </row>
    <row r="12" ht="15" customHeight="1" s="47">
      <c r="A12" s="183" t="n">
        <v>46204</v>
      </c>
      <c r="B12" s="182" t="inlineStr">
        <is>
          <t>T01</t>
        </is>
      </c>
      <c r="C12" s="182" t="inlineStr">
        <is>
          <t>EL-018</t>
        </is>
      </c>
      <c r="D12" s="59">
        <f>IFERROR(INDEX(Productos!$B$5:$B$124,MATCH($C12,Productos!$A$5:$A$124,0)),"")</f>
        <v/>
      </c>
      <c r="E12" s="59">
        <f>IFERROR(INDEX(Productos!$D$5:$D$124,MATCH($C12,Productos!$A$5:$A$124,0)),"")</f>
        <v/>
      </c>
      <c r="F12" s="186" t="n">
        <v>1</v>
      </c>
      <c r="G12" s="68">
        <f>IFERROR(INDEX(Productos!$H$5:$H$124,MATCH($C12,Productos!$A$5:$A$124,0)),"")</f>
        <v/>
      </c>
      <c r="H12" s="185" t="n">
        <v>0</v>
      </c>
      <c r="I12" s="68">
        <f>IFERROR($G12*(1-$H12),"")</f>
        <v/>
      </c>
      <c r="J12" s="182" t="inlineStr">
        <is>
          <t>Contado</t>
        </is>
      </c>
      <c r="K12" s="69">
        <f>IF($J12="",0,IF($J12="Contado",Inicio!$C$26,IF($J12="Tarjeta",Inicio!$C$27,IF($J12="Crédito propio",Inicio!$C$28,0))))</f>
        <v/>
      </c>
      <c r="L12" s="68">
        <f>IFERROR($F12*$I12,"")</f>
        <v/>
      </c>
      <c r="M12" s="68">
        <f>IFERROR($F12*INDEX(Productos!$G$5:$G$124,MATCH($C12,Productos!$A$5:$A$124,0)),"")</f>
        <v/>
      </c>
      <c r="N12" s="68">
        <f>IFERROR($L12*$K12,"")</f>
        <v/>
      </c>
      <c r="O12" s="68">
        <f>IFERROR($L12-$M12,"")</f>
        <v/>
      </c>
      <c r="P12" s="68">
        <f>IFERROR($O12-$N12,"")</f>
        <v/>
      </c>
      <c r="Q12" s="69">
        <f>IFERROR($P12/$L12,"")</f>
        <v/>
      </c>
    </row>
    <row r="13" ht="15" customHeight="1" s="47">
      <c r="A13" s="183" t="n">
        <v>46204</v>
      </c>
      <c r="B13" s="182" t="inlineStr">
        <is>
          <t>T01</t>
        </is>
      </c>
      <c r="C13" s="182" t="inlineStr">
        <is>
          <t>EL-020</t>
        </is>
      </c>
      <c r="D13" s="59">
        <f>IFERROR(INDEX(Productos!$B$5:$B$124,MATCH($C13,Productos!$A$5:$A$124,0)),"")</f>
        <v/>
      </c>
      <c r="E13" s="59">
        <f>IFERROR(INDEX(Productos!$D$5:$D$124,MATCH($C13,Productos!$A$5:$A$124,0)),"")</f>
        <v/>
      </c>
      <c r="F13" s="186" t="n">
        <v>1</v>
      </c>
      <c r="G13" s="68">
        <f>IFERROR(INDEX(Productos!$H$5:$H$124,MATCH($C13,Productos!$A$5:$A$124,0)),"")</f>
        <v/>
      </c>
      <c r="H13" s="185" t="n">
        <v>0</v>
      </c>
      <c r="I13" s="68">
        <f>IFERROR($G13*(1-$H13),"")</f>
        <v/>
      </c>
      <c r="J13" s="182" t="inlineStr">
        <is>
          <t>Crédito propio</t>
        </is>
      </c>
      <c r="K13" s="69">
        <f>IF($J13="",0,IF($J13="Contado",Inicio!$C$26,IF($J13="Tarjeta",Inicio!$C$27,IF($J13="Crédito propio",Inicio!$C$28,0))))</f>
        <v/>
      </c>
      <c r="L13" s="68">
        <f>IFERROR($F13*$I13,"")</f>
        <v/>
      </c>
      <c r="M13" s="68">
        <f>IFERROR($F13*INDEX(Productos!$G$5:$G$124,MATCH($C13,Productos!$A$5:$A$124,0)),"")</f>
        <v/>
      </c>
      <c r="N13" s="68">
        <f>IFERROR($L13*$K13,"")</f>
        <v/>
      </c>
      <c r="O13" s="68">
        <f>IFERROR($L13-$M13,"")</f>
        <v/>
      </c>
      <c r="P13" s="68">
        <f>IFERROR($O13-$N13,"")</f>
        <v/>
      </c>
      <c r="Q13" s="69">
        <f>IFERROR($P13/$L13,"")</f>
        <v/>
      </c>
    </row>
    <row r="14" ht="15" customHeight="1" s="47">
      <c r="A14" s="183" t="n">
        <v>46204</v>
      </c>
      <c r="B14" s="182" t="inlineStr">
        <is>
          <t>T01</t>
        </is>
      </c>
      <c r="C14" s="182" t="inlineStr">
        <is>
          <t>EL-021</t>
        </is>
      </c>
      <c r="D14" s="59">
        <f>IFERROR(INDEX(Productos!$B$5:$B$124,MATCH($C14,Productos!$A$5:$A$124,0)),"")</f>
        <v/>
      </c>
      <c r="E14" s="59">
        <f>IFERROR(INDEX(Productos!$D$5:$D$124,MATCH($C14,Productos!$A$5:$A$124,0)),"")</f>
        <v/>
      </c>
      <c r="F14" s="186" t="n">
        <v>1</v>
      </c>
      <c r="G14" s="68">
        <f>IFERROR(INDEX(Productos!$H$5:$H$124,MATCH($C14,Productos!$A$5:$A$124,0)),"")</f>
        <v/>
      </c>
      <c r="H14" s="185" t="n">
        <v>0.05</v>
      </c>
      <c r="I14" s="68">
        <f>IFERROR($G14*(1-$H14),"")</f>
        <v/>
      </c>
      <c r="J14" s="182" t="inlineStr">
        <is>
          <t>Tarjeta</t>
        </is>
      </c>
      <c r="K14" s="69">
        <f>IF($J14="",0,IF($J14="Contado",Inicio!$C$26,IF($J14="Tarjeta",Inicio!$C$27,IF($J14="Crédito propio",Inicio!$C$28,0))))</f>
        <v/>
      </c>
      <c r="L14" s="68">
        <f>IFERROR($F14*$I14,"")</f>
        <v/>
      </c>
      <c r="M14" s="68">
        <f>IFERROR($F14*INDEX(Productos!$G$5:$G$124,MATCH($C14,Productos!$A$5:$A$124,0)),"")</f>
        <v/>
      </c>
      <c r="N14" s="68">
        <f>IFERROR($L14*$K14,"")</f>
        <v/>
      </c>
      <c r="O14" s="68">
        <f>IFERROR($L14-$M14,"")</f>
        <v/>
      </c>
      <c r="P14" s="68">
        <f>IFERROR($O14-$N14,"")</f>
        <v/>
      </c>
      <c r="Q14" s="69">
        <f>IFERROR($P14/$L14,"")</f>
        <v/>
      </c>
    </row>
    <row r="15" ht="15" customHeight="1" s="47">
      <c r="A15" s="183" t="n">
        <v>46204</v>
      </c>
      <c r="B15" s="182" t="inlineStr">
        <is>
          <t>T01</t>
        </is>
      </c>
      <c r="C15" s="182" t="inlineStr">
        <is>
          <t>EL-022</t>
        </is>
      </c>
      <c r="D15" s="59">
        <f>IFERROR(INDEX(Productos!$B$5:$B$124,MATCH($C15,Productos!$A$5:$A$124,0)),"")</f>
        <v/>
      </c>
      <c r="E15" s="59">
        <f>IFERROR(INDEX(Productos!$D$5:$D$124,MATCH($C15,Productos!$A$5:$A$124,0)),"")</f>
        <v/>
      </c>
      <c r="F15" s="186" t="n">
        <v>1</v>
      </c>
      <c r="G15" s="68">
        <f>IFERROR(INDEX(Productos!$H$5:$H$124,MATCH($C15,Productos!$A$5:$A$124,0)),"")</f>
        <v/>
      </c>
      <c r="H15" s="185" t="n">
        <v>0.06880733944954132</v>
      </c>
      <c r="I15" s="68">
        <f>IFERROR($G15*(1-$H15),"")</f>
        <v/>
      </c>
      <c r="J15" s="182" t="inlineStr">
        <is>
          <t>Crédito propio</t>
        </is>
      </c>
      <c r="K15" s="69">
        <f>IF($J15="",0,IF($J15="Contado",Inicio!$C$26,IF($J15="Tarjeta",Inicio!$C$27,IF($J15="Crédito propio",Inicio!$C$28,0))))</f>
        <v/>
      </c>
      <c r="L15" s="68">
        <f>IFERROR($F15*$I15,"")</f>
        <v/>
      </c>
      <c r="M15" s="68">
        <f>IFERROR($F15*INDEX(Productos!$G$5:$G$124,MATCH($C15,Productos!$A$5:$A$124,0)),"")</f>
        <v/>
      </c>
      <c r="N15" s="68">
        <f>IFERROR($L15*$K15,"")</f>
        <v/>
      </c>
      <c r="O15" s="68">
        <f>IFERROR($L15-$M15,"")</f>
        <v/>
      </c>
      <c r="P15" s="68">
        <f>IFERROR($O15-$N15,"")</f>
        <v/>
      </c>
      <c r="Q15" s="69">
        <f>IFERROR($P15/$L15,"")</f>
        <v/>
      </c>
    </row>
    <row r="16" ht="15" customHeight="1" s="47">
      <c r="A16" s="183" t="n">
        <v>46204</v>
      </c>
      <c r="B16" s="182" t="inlineStr">
        <is>
          <t>T01</t>
        </is>
      </c>
      <c r="C16" s="182" t="inlineStr">
        <is>
          <t>EL-024</t>
        </is>
      </c>
      <c r="D16" s="59">
        <f>IFERROR(INDEX(Productos!$B$5:$B$124,MATCH($C16,Productos!$A$5:$A$124,0)),"")</f>
        <v/>
      </c>
      <c r="E16" s="59">
        <f>IFERROR(INDEX(Productos!$D$5:$D$124,MATCH($C16,Productos!$A$5:$A$124,0)),"")</f>
        <v/>
      </c>
      <c r="F16" s="186" t="n">
        <v>1</v>
      </c>
      <c r="G16" s="68">
        <f>IFERROR(INDEX(Productos!$H$5:$H$124,MATCH($C16,Productos!$A$5:$A$124,0)),"")</f>
        <v/>
      </c>
      <c r="H16" s="185" t="n">
        <v>0.05</v>
      </c>
      <c r="I16" s="68">
        <f>IFERROR($G16*(1-$H16),"")</f>
        <v/>
      </c>
      <c r="J16" s="182" t="inlineStr">
        <is>
          <t>Contado</t>
        </is>
      </c>
      <c r="K16" s="69">
        <f>IF($J16="",0,IF($J16="Contado",Inicio!$C$26,IF($J16="Tarjeta",Inicio!$C$27,IF($J16="Crédito propio",Inicio!$C$28,0))))</f>
        <v/>
      </c>
      <c r="L16" s="68">
        <f>IFERROR($F16*$I16,"")</f>
        <v/>
      </c>
      <c r="M16" s="68">
        <f>IFERROR($F16*INDEX(Productos!$G$5:$G$124,MATCH($C16,Productos!$A$5:$A$124,0)),"")</f>
        <v/>
      </c>
      <c r="N16" s="68">
        <f>IFERROR($L16*$K16,"")</f>
        <v/>
      </c>
      <c r="O16" s="68">
        <f>IFERROR($L16-$M16,"")</f>
        <v/>
      </c>
      <c r="P16" s="68">
        <f>IFERROR($O16-$N16,"")</f>
        <v/>
      </c>
      <c r="Q16" s="69">
        <f>IFERROR($P16/$L16,"")</f>
        <v/>
      </c>
    </row>
    <row r="17" ht="15" customHeight="1" s="47">
      <c r="A17" s="183" t="n">
        <v>46204</v>
      </c>
      <c r="B17" s="182" t="inlineStr">
        <is>
          <t>T01</t>
        </is>
      </c>
      <c r="C17" s="182" t="inlineStr">
        <is>
          <t>EL-025</t>
        </is>
      </c>
      <c r="D17" s="59">
        <f>IFERROR(INDEX(Productos!$B$5:$B$124,MATCH($C17,Productos!$A$5:$A$124,0)),"")</f>
        <v/>
      </c>
      <c r="E17" s="59">
        <f>IFERROR(INDEX(Productos!$D$5:$D$124,MATCH($C17,Productos!$A$5:$A$124,0)),"")</f>
        <v/>
      </c>
      <c r="F17" s="186" t="n">
        <v>1</v>
      </c>
      <c r="G17" s="68">
        <f>IFERROR(INDEX(Productos!$H$5:$H$124,MATCH($C17,Productos!$A$5:$A$124,0)),"")</f>
        <v/>
      </c>
      <c r="H17" s="185" t="n">
        <v>0.07079646017699115</v>
      </c>
      <c r="I17" s="68">
        <f>IFERROR($G17*(1-$H17),"")</f>
        <v/>
      </c>
      <c r="J17" s="182" t="inlineStr">
        <is>
          <t>Crédito propio</t>
        </is>
      </c>
      <c r="K17" s="69">
        <f>IF($J17="",0,IF($J17="Contado",Inicio!$C$26,IF($J17="Tarjeta",Inicio!$C$27,IF($J17="Crédito propio",Inicio!$C$28,0))))</f>
        <v/>
      </c>
      <c r="L17" s="68">
        <f>IFERROR($F17*$I17,"")</f>
        <v/>
      </c>
      <c r="M17" s="68">
        <f>IFERROR($F17*INDEX(Productos!$G$5:$G$124,MATCH($C17,Productos!$A$5:$A$124,0)),"")</f>
        <v/>
      </c>
      <c r="N17" s="68">
        <f>IFERROR($L17*$K17,"")</f>
        <v/>
      </c>
      <c r="O17" s="68">
        <f>IFERROR($L17-$M17,"")</f>
        <v/>
      </c>
      <c r="P17" s="68">
        <f>IFERROR($O17-$N17,"")</f>
        <v/>
      </c>
      <c r="Q17" s="69">
        <f>IFERROR($P17/$L17,"")</f>
        <v/>
      </c>
    </row>
    <row r="18" ht="15" customHeight="1" s="47">
      <c r="A18" s="183" t="n">
        <v>46204</v>
      </c>
      <c r="B18" s="182" t="inlineStr">
        <is>
          <t>T01</t>
        </is>
      </c>
      <c r="C18" s="182" t="inlineStr">
        <is>
          <t>EL-026</t>
        </is>
      </c>
      <c r="D18" s="59">
        <f>IFERROR(INDEX(Productos!$B$5:$B$124,MATCH($C18,Productos!$A$5:$A$124,0)),"")</f>
        <v/>
      </c>
      <c r="E18" s="59">
        <f>IFERROR(INDEX(Productos!$D$5:$D$124,MATCH($C18,Productos!$A$5:$A$124,0)),"")</f>
        <v/>
      </c>
      <c r="F18" s="186" t="n">
        <v>1</v>
      </c>
      <c r="G18" s="68">
        <f>IFERROR(INDEX(Productos!$H$5:$H$124,MATCH($C18,Productos!$A$5:$A$124,0)),"")</f>
        <v/>
      </c>
      <c r="H18" s="185" t="n">
        <v>0</v>
      </c>
      <c r="I18" s="68">
        <f>IFERROR($G18*(1-$H18),"")</f>
        <v/>
      </c>
      <c r="J18" s="182" t="inlineStr">
        <is>
          <t>Tarjeta</t>
        </is>
      </c>
      <c r="K18" s="69">
        <f>IF($J18="",0,IF($J18="Contado",Inicio!$C$26,IF($J18="Tarjeta",Inicio!$C$27,IF($J18="Crédito propio",Inicio!$C$28,0))))</f>
        <v/>
      </c>
      <c r="L18" s="68">
        <f>IFERROR($F18*$I18,"")</f>
        <v/>
      </c>
      <c r="M18" s="68">
        <f>IFERROR($F18*INDEX(Productos!$G$5:$G$124,MATCH($C18,Productos!$A$5:$A$124,0)),"")</f>
        <v/>
      </c>
      <c r="N18" s="68">
        <f>IFERROR($L18*$K18,"")</f>
        <v/>
      </c>
      <c r="O18" s="68">
        <f>IFERROR($L18-$M18,"")</f>
        <v/>
      </c>
      <c r="P18" s="68">
        <f>IFERROR($O18-$N18,"")</f>
        <v/>
      </c>
      <c r="Q18" s="69">
        <f>IFERROR($P18/$L18,"")</f>
        <v/>
      </c>
    </row>
    <row r="19" ht="15" customHeight="1" s="47">
      <c r="A19" s="183" t="n">
        <v>46204</v>
      </c>
      <c r="B19" s="182" t="inlineStr">
        <is>
          <t>T01</t>
        </is>
      </c>
      <c r="C19" s="182" t="inlineStr">
        <is>
          <t>EL-034</t>
        </is>
      </c>
      <c r="D19" s="59">
        <f>IFERROR(INDEX(Productos!$B$5:$B$124,MATCH($C19,Productos!$A$5:$A$124,0)),"")</f>
        <v/>
      </c>
      <c r="E19" s="59">
        <f>IFERROR(INDEX(Productos!$D$5:$D$124,MATCH($C19,Productos!$A$5:$A$124,0)),"")</f>
        <v/>
      </c>
      <c r="F19" s="186" t="n">
        <v>2</v>
      </c>
      <c r="G19" s="68">
        <f>IFERROR(INDEX(Productos!$H$5:$H$124,MATCH($C19,Productos!$A$5:$A$124,0)),"")</f>
        <v/>
      </c>
      <c r="H19" s="185" t="n">
        <v>0</v>
      </c>
      <c r="I19" s="68">
        <f>IFERROR($G19*(1-$H19),"")</f>
        <v/>
      </c>
      <c r="J19" s="182" t="inlineStr">
        <is>
          <t>Tarjeta</t>
        </is>
      </c>
      <c r="K19" s="69">
        <f>IF($J19="",0,IF($J19="Contado",Inicio!$C$26,IF($J19="Tarjeta",Inicio!$C$27,IF($J19="Crédito propio",Inicio!$C$28,0))))</f>
        <v/>
      </c>
      <c r="L19" s="68">
        <f>IFERROR($F19*$I19,"")</f>
        <v/>
      </c>
      <c r="M19" s="68">
        <f>IFERROR($F19*INDEX(Productos!$G$5:$G$124,MATCH($C19,Productos!$A$5:$A$124,0)),"")</f>
        <v/>
      </c>
      <c r="N19" s="68">
        <f>IFERROR($L19*$K19,"")</f>
        <v/>
      </c>
      <c r="O19" s="68">
        <f>IFERROR($L19-$M19,"")</f>
        <v/>
      </c>
      <c r="P19" s="68">
        <f>IFERROR($O19-$N19,"")</f>
        <v/>
      </c>
      <c r="Q19" s="69">
        <f>IFERROR($P19/$L19,"")</f>
        <v/>
      </c>
    </row>
    <row r="20" ht="15" customHeight="1" s="47">
      <c r="A20" s="183" t="n">
        <v>46204</v>
      </c>
      <c r="B20" s="182" t="inlineStr">
        <is>
          <t>T01</t>
        </is>
      </c>
      <c r="C20" s="182" t="inlineStr">
        <is>
          <t>EL-036</t>
        </is>
      </c>
      <c r="D20" s="59">
        <f>IFERROR(INDEX(Productos!$B$5:$B$124,MATCH($C20,Productos!$A$5:$A$124,0)),"")</f>
        <v/>
      </c>
      <c r="E20" s="59">
        <f>IFERROR(INDEX(Productos!$D$5:$D$124,MATCH($C20,Productos!$A$5:$A$124,0)),"")</f>
        <v/>
      </c>
      <c r="F20" s="186" t="n">
        <v>1</v>
      </c>
      <c r="G20" s="68">
        <f>IFERROR(INDEX(Productos!$H$5:$H$124,MATCH($C20,Productos!$A$5:$A$124,0)),"")</f>
        <v/>
      </c>
      <c r="H20" s="185" t="n">
        <v>0.03</v>
      </c>
      <c r="I20" s="68">
        <f>IFERROR($G20*(1-$H20),"")</f>
        <v/>
      </c>
      <c r="J20" s="182" t="inlineStr">
        <is>
          <t>Tarjeta</t>
        </is>
      </c>
      <c r="K20" s="69">
        <f>IF($J20="",0,IF($J20="Contado",Inicio!$C$26,IF($J20="Tarjeta",Inicio!$C$27,IF($J20="Crédito propio",Inicio!$C$28,0))))</f>
        <v/>
      </c>
      <c r="L20" s="68">
        <f>IFERROR($F20*$I20,"")</f>
        <v/>
      </c>
      <c r="M20" s="68">
        <f>IFERROR($F20*INDEX(Productos!$G$5:$G$124,MATCH($C20,Productos!$A$5:$A$124,0)),"")</f>
        <v/>
      </c>
      <c r="N20" s="68">
        <f>IFERROR($L20*$K20,"")</f>
        <v/>
      </c>
      <c r="O20" s="68">
        <f>IFERROR($L20-$M20,"")</f>
        <v/>
      </c>
      <c r="P20" s="68">
        <f>IFERROR($O20-$N20,"")</f>
        <v/>
      </c>
      <c r="Q20" s="69">
        <f>IFERROR($P20/$L20,"")</f>
        <v/>
      </c>
    </row>
    <row r="21" ht="15" customHeight="1" s="47">
      <c r="A21" s="183" t="n">
        <v>46204</v>
      </c>
      <c r="B21" s="182" t="inlineStr">
        <is>
          <t>T01</t>
        </is>
      </c>
      <c r="C21" s="182" t="inlineStr">
        <is>
          <t>EL-037</t>
        </is>
      </c>
      <c r="D21" s="59">
        <f>IFERROR(INDEX(Productos!$B$5:$B$124,MATCH($C21,Productos!$A$5:$A$124,0)),"")</f>
        <v/>
      </c>
      <c r="E21" s="59">
        <f>IFERROR(INDEX(Productos!$D$5:$D$124,MATCH($C21,Productos!$A$5:$A$124,0)),"")</f>
        <v/>
      </c>
      <c r="F21" s="186" t="n">
        <v>1</v>
      </c>
      <c r="G21" s="68">
        <f>IFERROR(INDEX(Productos!$H$5:$H$124,MATCH($C21,Productos!$A$5:$A$124,0)),"")</f>
        <v/>
      </c>
      <c r="H21" s="185" t="n">
        <v>0.0672268907563025</v>
      </c>
      <c r="I21" s="68">
        <f>IFERROR($G21*(1-$H21),"")</f>
        <v/>
      </c>
      <c r="J21" s="182" t="inlineStr">
        <is>
          <t>Contado</t>
        </is>
      </c>
      <c r="K21" s="69">
        <f>IF($J21="",0,IF($J21="Contado",Inicio!$C$26,IF($J21="Tarjeta",Inicio!$C$27,IF($J21="Crédito propio",Inicio!$C$28,0))))</f>
        <v/>
      </c>
      <c r="L21" s="68">
        <f>IFERROR($F21*$I21,"")</f>
        <v/>
      </c>
      <c r="M21" s="68">
        <f>IFERROR($F21*INDEX(Productos!$G$5:$G$124,MATCH($C21,Productos!$A$5:$A$124,0)),"")</f>
        <v/>
      </c>
      <c r="N21" s="68">
        <f>IFERROR($L21*$K21,"")</f>
        <v/>
      </c>
      <c r="O21" s="68">
        <f>IFERROR($L21-$M21,"")</f>
        <v/>
      </c>
      <c r="P21" s="68">
        <f>IFERROR($O21-$N21,"")</f>
        <v/>
      </c>
      <c r="Q21" s="69">
        <f>IFERROR($P21/$L21,"")</f>
        <v/>
      </c>
    </row>
    <row r="22" ht="15" customHeight="1" s="47">
      <c r="A22" s="183" t="n">
        <v>46204</v>
      </c>
      <c r="B22" s="182" t="inlineStr">
        <is>
          <t>T01</t>
        </is>
      </c>
      <c r="C22" s="182" t="inlineStr">
        <is>
          <t>EL-040</t>
        </is>
      </c>
      <c r="D22" s="59">
        <f>IFERROR(INDEX(Productos!$B$5:$B$124,MATCH($C22,Productos!$A$5:$A$124,0)),"")</f>
        <v/>
      </c>
      <c r="E22" s="59">
        <f>IFERROR(INDEX(Productos!$D$5:$D$124,MATCH($C22,Productos!$A$5:$A$124,0)),"")</f>
        <v/>
      </c>
      <c r="F22" s="186" t="n">
        <v>1</v>
      </c>
      <c r="G22" s="68">
        <f>IFERROR(INDEX(Productos!$H$5:$H$124,MATCH($C22,Productos!$A$5:$A$124,0)),"")</f>
        <v/>
      </c>
      <c r="H22" s="185" t="n">
        <v>0.05</v>
      </c>
      <c r="I22" s="68">
        <f>IFERROR($G22*(1-$H22),"")</f>
        <v/>
      </c>
      <c r="J22" s="182" t="inlineStr">
        <is>
          <t>Tarjeta</t>
        </is>
      </c>
      <c r="K22" s="69">
        <f>IF($J22="",0,IF($J22="Contado",Inicio!$C$26,IF($J22="Tarjeta",Inicio!$C$27,IF($J22="Crédito propio",Inicio!$C$28,0))))</f>
        <v/>
      </c>
      <c r="L22" s="68">
        <f>IFERROR($F22*$I22,"")</f>
        <v/>
      </c>
      <c r="M22" s="68">
        <f>IFERROR($F22*INDEX(Productos!$G$5:$G$124,MATCH($C22,Productos!$A$5:$A$124,0)),"")</f>
        <v/>
      </c>
      <c r="N22" s="68">
        <f>IFERROR($L22*$K22,"")</f>
        <v/>
      </c>
      <c r="O22" s="68">
        <f>IFERROR($L22-$M22,"")</f>
        <v/>
      </c>
      <c r="P22" s="68">
        <f>IFERROR($O22-$N22,"")</f>
        <v/>
      </c>
      <c r="Q22" s="69">
        <f>IFERROR($P22/$L22,"")</f>
        <v/>
      </c>
    </row>
    <row r="23" ht="15" customHeight="1" s="47">
      <c r="A23" s="183" t="n">
        <v>46204</v>
      </c>
      <c r="B23" s="182" t="inlineStr">
        <is>
          <t>T01</t>
        </is>
      </c>
      <c r="C23" s="182" t="inlineStr">
        <is>
          <t>EL-041</t>
        </is>
      </c>
      <c r="D23" s="59">
        <f>IFERROR(INDEX(Productos!$B$5:$B$124,MATCH($C23,Productos!$A$5:$A$124,0)),"")</f>
        <v/>
      </c>
      <c r="E23" s="59">
        <f>IFERROR(INDEX(Productos!$D$5:$D$124,MATCH($C23,Productos!$A$5:$A$124,0)),"")</f>
        <v/>
      </c>
      <c r="F23" s="186" t="n">
        <v>1</v>
      </c>
      <c r="G23" s="68">
        <f>IFERROR(INDEX(Productos!$H$5:$H$124,MATCH($C23,Productos!$A$5:$A$124,0)),"")</f>
        <v/>
      </c>
      <c r="H23" s="185" t="n">
        <v>0.0703125</v>
      </c>
      <c r="I23" s="68">
        <f>IFERROR($G23*(1-$H23),"")</f>
        <v/>
      </c>
      <c r="J23" s="182" t="inlineStr">
        <is>
          <t>Tarjeta</t>
        </is>
      </c>
      <c r="K23" s="69">
        <f>IF($J23="",0,IF($J23="Contado",Inicio!$C$26,IF($J23="Tarjeta",Inicio!$C$27,IF($J23="Crédito propio",Inicio!$C$28,0))))</f>
        <v/>
      </c>
      <c r="L23" s="68">
        <f>IFERROR($F23*$I23,"")</f>
        <v/>
      </c>
      <c r="M23" s="68">
        <f>IFERROR($F23*INDEX(Productos!$G$5:$G$124,MATCH($C23,Productos!$A$5:$A$124,0)),"")</f>
        <v/>
      </c>
      <c r="N23" s="68">
        <f>IFERROR($L23*$K23,"")</f>
        <v/>
      </c>
      <c r="O23" s="68">
        <f>IFERROR($L23-$M23,"")</f>
        <v/>
      </c>
      <c r="P23" s="68">
        <f>IFERROR($O23-$N23,"")</f>
        <v/>
      </c>
      <c r="Q23" s="69">
        <f>IFERROR($P23/$L23,"")</f>
        <v/>
      </c>
    </row>
    <row r="24" ht="15" customHeight="1" s="47">
      <c r="A24" s="183" t="n">
        <v>46204</v>
      </c>
      <c r="B24" s="182" t="inlineStr">
        <is>
          <t>T01</t>
        </is>
      </c>
      <c r="C24" s="182" t="inlineStr">
        <is>
          <t>EL-044</t>
        </is>
      </c>
      <c r="D24" s="59">
        <f>IFERROR(INDEX(Productos!$B$5:$B$124,MATCH($C24,Productos!$A$5:$A$124,0)),"")</f>
        <v/>
      </c>
      <c r="E24" s="59">
        <f>IFERROR(INDEX(Productos!$D$5:$D$124,MATCH($C24,Productos!$A$5:$A$124,0)),"")</f>
        <v/>
      </c>
      <c r="F24" s="186" t="n">
        <v>1</v>
      </c>
      <c r="G24" s="68">
        <f>IFERROR(INDEX(Productos!$H$5:$H$124,MATCH($C24,Productos!$A$5:$A$124,0)),"")</f>
        <v/>
      </c>
      <c r="H24" s="185" t="n">
        <v>0.06870229007633588</v>
      </c>
      <c r="I24" s="68">
        <f>IFERROR($G24*(1-$H24),"")</f>
        <v/>
      </c>
      <c r="J24" s="182" t="inlineStr">
        <is>
          <t>Contado</t>
        </is>
      </c>
      <c r="K24" s="69">
        <f>IF($J24="",0,IF($J24="Contado",Inicio!$C$26,IF($J24="Tarjeta",Inicio!$C$27,IF($J24="Crédito propio",Inicio!$C$28,0))))</f>
        <v/>
      </c>
      <c r="L24" s="68">
        <f>IFERROR($F24*$I24,"")</f>
        <v/>
      </c>
      <c r="M24" s="68">
        <f>IFERROR($F24*INDEX(Productos!$G$5:$G$124,MATCH($C24,Productos!$A$5:$A$124,0)),"")</f>
        <v/>
      </c>
      <c r="N24" s="68">
        <f>IFERROR($L24*$K24,"")</f>
        <v/>
      </c>
      <c r="O24" s="68">
        <f>IFERROR($L24-$M24,"")</f>
        <v/>
      </c>
      <c r="P24" s="68">
        <f>IFERROR($O24-$N24,"")</f>
        <v/>
      </c>
      <c r="Q24" s="69">
        <f>IFERROR($P24/$L24,"")</f>
        <v/>
      </c>
    </row>
    <row r="25" ht="15" customHeight="1" s="47">
      <c r="A25" s="183" t="n">
        <v>46204</v>
      </c>
      <c r="B25" s="182" t="inlineStr">
        <is>
          <t>T01</t>
        </is>
      </c>
      <c r="C25" s="182" t="inlineStr">
        <is>
          <t>EL-045</t>
        </is>
      </c>
      <c r="D25" s="59">
        <f>IFERROR(INDEX(Productos!$B$5:$B$124,MATCH($C25,Productos!$A$5:$A$124,0)),"")</f>
        <v/>
      </c>
      <c r="E25" s="59">
        <f>IFERROR(INDEX(Productos!$D$5:$D$124,MATCH($C25,Productos!$A$5:$A$124,0)),"")</f>
        <v/>
      </c>
      <c r="F25" s="186" t="n">
        <v>1</v>
      </c>
      <c r="G25" s="68">
        <f>IFERROR(INDEX(Productos!$H$5:$H$124,MATCH($C25,Productos!$A$5:$A$124,0)),"")</f>
        <v/>
      </c>
      <c r="H25" s="185" t="n">
        <v>0.07035175879396982</v>
      </c>
      <c r="I25" s="68">
        <f>IFERROR($G25*(1-$H25),"")</f>
        <v/>
      </c>
      <c r="J25" s="182" t="inlineStr">
        <is>
          <t>Crédito propio</t>
        </is>
      </c>
      <c r="K25" s="69">
        <f>IF($J25="",0,IF($J25="Contado",Inicio!$C$26,IF($J25="Tarjeta",Inicio!$C$27,IF($J25="Crédito propio",Inicio!$C$28,0))))</f>
        <v/>
      </c>
      <c r="L25" s="68">
        <f>IFERROR($F25*$I25,"")</f>
        <v/>
      </c>
      <c r="M25" s="68">
        <f>IFERROR($F25*INDEX(Productos!$G$5:$G$124,MATCH($C25,Productos!$A$5:$A$124,0)),"")</f>
        <v/>
      </c>
      <c r="N25" s="68">
        <f>IFERROR($L25*$K25,"")</f>
        <v/>
      </c>
      <c r="O25" s="68">
        <f>IFERROR($L25-$M25,"")</f>
        <v/>
      </c>
      <c r="P25" s="68">
        <f>IFERROR($O25-$N25,"")</f>
        <v/>
      </c>
      <c r="Q25" s="69">
        <f>IFERROR($P25/$L25,"")</f>
        <v/>
      </c>
    </row>
    <row r="26" ht="15" customHeight="1" s="47">
      <c r="A26" s="183" t="n">
        <v>46204</v>
      </c>
      <c r="B26" s="182" t="inlineStr">
        <is>
          <t>T01</t>
        </is>
      </c>
      <c r="C26" s="182" t="inlineStr">
        <is>
          <t>EL-046</t>
        </is>
      </c>
      <c r="D26" s="59">
        <f>IFERROR(INDEX(Productos!$B$5:$B$124,MATCH($C26,Productos!$A$5:$A$124,0)),"")</f>
        <v/>
      </c>
      <c r="E26" s="59">
        <f>IFERROR(INDEX(Productos!$D$5:$D$124,MATCH($C26,Productos!$A$5:$A$124,0)),"")</f>
        <v/>
      </c>
      <c r="F26" s="186" t="n">
        <v>2</v>
      </c>
      <c r="G26" s="68">
        <f>IFERROR(INDEX(Productos!$H$5:$H$124,MATCH($C26,Productos!$A$5:$A$124,0)),"")</f>
        <v/>
      </c>
      <c r="H26" s="185" t="n">
        <v>0.03</v>
      </c>
      <c r="I26" s="68">
        <f>IFERROR($G26*(1-$H26),"")</f>
        <v/>
      </c>
      <c r="J26" s="182" t="inlineStr">
        <is>
          <t>Contado</t>
        </is>
      </c>
      <c r="K26" s="69">
        <f>IF($J26="",0,IF($J26="Contado",Inicio!$C$26,IF($J26="Tarjeta",Inicio!$C$27,IF($J26="Crédito propio",Inicio!$C$28,0))))</f>
        <v/>
      </c>
      <c r="L26" s="68">
        <f>IFERROR($F26*$I26,"")</f>
        <v/>
      </c>
      <c r="M26" s="68">
        <f>IFERROR($F26*INDEX(Productos!$G$5:$G$124,MATCH($C26,Productos!$A$5:$A$124,0)),"")</f>
        <v/>
      </c>
      <c r="N26" s="68">
        <f>IFERROR($L26*$K26,"")</f>
        <v/>
      </c>
      <c r="O26" s="68">
        <f>IFERROR($L26-$M26,"")</f>
        <v/>
      </c>
      <c r="P26" s="68">
        <f>IFERROR($O26-$N26,"")</f>
        <v/>
      </c>
      <c r="Q26" s="69">
        <f>IFERROR($P26/$L26,"")</f>
        <v/>
      </c>
    </row>
    <row r="27" ht="15" customHeight="1" s="47">
      <c r="A27" s="183" t="n">
        <v>46204</v>
      </c>
      <c r="B27" s="182" t="inlineStr">
        <is>
          <t>T01</t>
        </is>
      </c>
      <c r="C27" s="182" t="inlineStr">
        <is>
          <t>EL-048</t>
        </is>
      </c>
      <c r="D27" s="59">
        <f>IFERROR(INDEX(Productos!$B$5:$B$124,MATCH($C27,Productos!$A$5:$A$124,0)),"")</f>
        <v/>
      </c>
      <c r="E27" s="59">
        <f>IFERROR(INDEX(Productos!$D$5:$D$124,MATCH($C27,Productos!$A$5:$A$124,0)),"")</f>
        <v/>
      </c>
      <c r="F27" s="186" t="n">
        <v>1</v>
      </c>
      <c r="G27" s="68">
        <f>IFERROR(INDEX(Productos!$H$5:$H$124,MATCH($C27,Productos!$A$5:$A$124,0)),"")</f>
        <v/>
      </c>
      <c r="H27" s="185" t="n">
        <v>0</v>
      </c>
      <c r="I27" s="68">
        <f>IFERROR($G27*(1-$H27),"")</f>
        <v/>
      </c>
      <c r="J27" s="182" t="inlineStr">
        <is>
          <t>Crédito propio</t>
        </is>
      </c>
      <c r="K27" s="69">
        <f>IF($J27="",0,IF($J27="Contado",Inicio!$C$26,IF($J27="Tarjeta",Inicio!$C$27,IF($J27="Crédito propio",Inicio!$C$28,0))))</f>
        <v/>
      </c>
      <c r="L27" s="68">
        <f>IFERROR($F27*$I27,"")</f>
        <v/>
      </c>
      <c r="M27" s="68">
        <f>IFERROR($F27*INDEX(Productos!$G$5:$G$124,MATCH($C27,Productos!$A$5:$A$124,0)),"")</f>
        <v/>
      </c>
      <c r="N27" s="68">
        <f>IFERROR($L27*$K27,"")</f>
        <v/>
      </c>
      <c r="O27" s="68">
        <f>IFERROR($L27-$M27,"")</f>
        <v/>
      </c>
      <c r="P27" s="68">
        <f>IFERROR($O27-$N27,"")</f>
        <v/>
      </c>
      <c r="Q27" s="69">
        <f>IFERROR($P27/$L27,"")</f>
        <v/>
      </c>
    </row>
    <row r="28" ht="15" customHeight="1" s="47">
      <c r="A28" s="183" t="n">
        <v>46204</v>
      </c>
      <c r="B28" s="182" t="inlineStr">
        <is>
          <t>T01</t>
        </is>
      </c>
      <c r="C28" s="182" t="inlineStr">
        <is>
          <t>EL-049</t>
        </is>
      </c>
      <c r="D28" s="59">
        <f>IFERROR(INDEX(Productos!$B$5:$B$124,MATCH($C28,Productos!$A$5:$A$124,0)),"")</f>
        <v/>
      </c>
      <c r="E28" s="59">
        <f>IFERROR(INDEX(Productos!$D$5:$D$124,MATCH($C28,Productos!$A$5:$A$124,0)),"")</f>
        <v/>
      </c>
      <c r="F28" s="186" t="n">
        <v>1</v>
      </c>
      <c r="G28" s="68">
        <f>IFERROR(INDEX(Productos!$H$5:$H$124,MATCH($C28,Productos!$A$5:$A$124,0)),"")</f>
        <v/>
      </c>
      <c r="H28" s="185" t="n">
        <v>0.07185628742514971</v>
      </c>
      <c r="I28" s="68">
        <f>IFERROR($G28*(1-$H28),"")</f>
        <v/>
      </c>
      <c r="J28" s="182" t="inlineStr">
        <is>
          <t>Crédito propio</t>
        </is>
      </c>
      <c r="K28" s="69">
        <f>IF($J28="",0,IF($J28="Contado",Inicio!$C$26,IF($J28="Tarjeta",Inicio!$C$27,IF($J28="Crédito propio",Inicio!$C$28,0))))</f>
        <v/>
      </c>
      <c r="L28" s="68">
        <f>IFERROR($F28*$I28,"")</f>
        <v/>
      </c>
      <c r="M28" s="68">
        <f>IFERROR($F28*INDEX(Productos!$G$5:$G$124,MATCH($C28,Productos!$A$5:$A$124,0)),"")</f>
        <v/>
      </c>
      <c r="N28" s="68">
        <f>IFERROR($L28*$K28,"")</f>
        <v/>
      </c>
      <c r="O28" s="68">
        <f>IFERROR($L28-$M28,"")</f>
        <v/>
      </c>
      <c r="P28" s="68">
        <f>IFERROR($O28-$N28,"")</f>
        <v/>
      </c>
      <c r="Q28" s="69">
        <f>IFERROR($P28/$L28,"")</f>
        <v/>
      </c>
    </row>
    <row r="29" ht="15" customHeight="1" s="47">
      <c r="A29" s="183" t="n">
        <v>46204</v>
      </c>
      <c r="B29" s="182" t="inlineStr">
        <is>
          <t>T02</t>
        </is>
      </c>
      <c r="C29" s="182" t="inlineStr">
        <is>
          <t>EL-003</t>
        </is>
      </c>
      <c r="D29" s="59">
        <f>IFERROR(INDEX(Productos!$B$5:$B$124,MATCH($C29,Productos!$A$5:$A$124,0)),"")</f>
        <v/>
      </c>
      <c r="E29" s="59">
        <f>IFERROR(INDEX(Productos!$D$5:$D$124,MATCH($C29,Productos!$A$5:$A$124,0)),"")</f>
        <v/>
      </c>
      <c r="F29" s="186" t="n">
        <v>1</v>
      </c>
      <c r="G29" s="68">
        <f>IFERROR(INDEX(Productos!$H$5:$H$124,MATCH($C29,Productos!$A$5:$A$124,0)),"")</f>
        <v/>
      </c>
      <c r="H29" s="185" t="n">
        <v>0.07236842105263153</v>
      </c>
      <c r="I29" s="68">
        <f>IFERROR($G29*(1-$H29),"")</f>
        <v/>
      </c>
      <c r="J29" s="182" t="inlineStr">
        <is>
          <t>Tarjeta</t>
        </is>
      </c>
      <c r="K29" s="69">
        <f>IF($J29="",0,IF($J29="Contado",Inicio!$C$26,IF($J29="Tarjeta",Inicio!$C$27,IF($J29="Crédito propio",Inicio!$C$28,0))))</f>
        <v/>
      </c>
      <c r="L29" s="68">
        <f>IFERROR($F29*$I29,"")</f>
        <v/>
      </c>
      <c r="M29" s="68">
        <f>IFERROR($F29*INDEX(Productos!$G$5:$G$124,MATCH($C29,Productos!$A$5:$A$124,0)),"")</f>
        <v/>
      </c>
      <c r="N29" s="68">
        <f>IFERROR($L29*$K29,"")</f>
        <v/>
      </c>
      <c r="O29" s="68">
        <f>IFERROR($L29-$M29,"")</f>
        <v/>
      </c>
      <c r="P29" s="68">
        <f>IFERROR($O29-$N29,"")</f>
        <v/>
      </c>
      <c r="Q29" s="69">
        <f>IFERROR($P29/$L29,"")</f>
        <v/>
      </c>
    </row>
    <row r="30" ht="15" customHeight="1" s="47">
      <c r="A30" s="183" t="n">
        <v>46204</v>
      </c>
      <c r="B30" s="182" t="inlineStr">
        <is>
          <t>T02</t>
        </is>
      </c>
      <c r="C30" s="182" t="inlineStr">
        <is>
          <t>EL-006</t>
        </is>
      </c>
      <c r="D30" s="59">
        <f>IFERROR(INDEX(Productos!$B$5:$B$124,MATCH($C30,Productos!$A$5:$A$124,0)),"")</f>
        <v/>
      </c>
      <c r="E30" s="59">
        <f>IFERROR(INDEX(Productos!$D$5:$D$124,MATCH($C30,Productos!$A$5:$A$124,0)),"")</f>
        <v/>
      </c>
      <c r="F30" s="186" t="n">
        <v>1</v>
      </c>
      <c r="G30" s="68">
        <f>IFERROR(INDEX(Productos!$H$5:$H$124,MATCH($C30,Productos!$A$5:$A$124,0)),"")</f>
        <v/>
      </c>
      <c r="H30" s="185" t="n">
        <v>0.0703125</v>
      </c>
      <c r="I30" s="68">
        <f>IFERROR($G30*(1-$H30),"")</f>
        <v/>
      </c>
      <c r="J30" s="182" t="inlineStr">
        <is>
          <t>Tarjeta</t>
        </is>
      </c>
      <c r="K30" s="69">
        <f>IF($J30="",0,IF($J30="Contado",Inicio!$C$26,IF($J30="Tarjeta",Inicio!$C$27,IF($J30="Crédito propio",Inicio!$C$28,0))))</f>
        <v/>
      </c>
      <c r="L30" s="68">
        <f>IFERROR($F30*$I30,"")</f>
        <v/>
      </c>
      <c r="M30" s="68">
        <f>IFERROR($F30*INDEX(Productos!$G$5:$G$124,MATCH($C30,Productos!$A$5:$A$124,0)),"")</f>
        <v/>
      </c>
      <c r="N30" s="68">
        <f>IFERROR($L30*$K30,"")</f>
        <v/>
      </c>
      <c r="O30" s="68">
        <f>IFERROR($L30-$M30,"")</f>
        <v/>
      </c>
      <c r="P30" s="68">
        <f>IFERROR($O30-$N30,"")</f>
        <v/>
      </c>
      <c r="Q30" s="69">
        <f>IFERROR($P30/$L30,"")</f>
        <v/>
      </c>
    </row>
    <row r="31" ht="15" customHeight="1" s="47">
      <c r="A31" s="183" t="n">
        <v>46204</v>
      </c>
      <c r="B31" s="182" t="inlineStr">
        <is>
          <t>T02</t>
        </is>
      </c>
      <c r="C31" s="182" t="inlineStr">
        <is>
          <t>EL-007</t>
        </is>
      </c>
      <c r="D31" s="59">
        <f>IFERROR(INDEX(Productos!$B$5:$B$124,MATCH($C31,Productos!$A$5:$A$124,0)),"")</f>
        <v/>
      </c>
      <c r="E31" s="59">
        <f>IFERROR(INDEX(Productos!$D$5:$D$124,MATCH($C31,Productos!$A$5:$A$124,0)),"")</f>
        <v/>
      </c>
      <c r="F31" s="186" t="n">
        <v>1</v>
      </c>
      <c r="G31" s="68">
        <f>IFERROR(INDEX(Productos!$H$5:$H$124,MATCH($C31,Productos!$A$5:$A$124,0)),"")</f>
        <v/>
      </c>
      <c r="H31" s="185" t="n">
        <v>0</v>
      </c>
      <c r="I31" s="68">
        <f>IFERROR($G31*(1-$H31),"")</f>
        <v/>
      </c>
      <c r="J31" s="182" t="inlineStr">
        <is>
          <t>Tarjeta</t>
        </is>
      </c>
      <c r="K31" s="69">
        <f>IF($J31="",0,IF($J31="Contado",Inicio!$C$26,IF($J31="Tarjeta",Inicio!$C$27,IF($J31="Crédito propio",Inicio!$C$28,0))))</f>
        <v/>
      </c>
      <c r="L31" s="68">
        <f>IFERROR($F31*$I31,"")</f>
        <v/>
      </c>
      <c r="M31" s="68">
        <f>IFERROR($F31*INDEX(Productos!$G$5:$G$124,MATCH($C31,Productos!$A$5:$A$124,0)),"")</f>
        <v/>
      </c>
      <c r="N31" s="68">
        <f>IFERROR($L31*$K31,"")</f>
        <v/>
      </c>
      <c r="O31" s="68">
        <f>IFERROR($L31-$M31,"")</f>
        <v/>
      </c>
      <c r="P31" s="68">
        <f>IFERROR($O31-$N31,"")</f>
        <v/>
      </c>
      <c r="Q31" s="69">
        <f>IFERROR($P31/$L31,"")</f>
        <v/>
      </c>
    </row>
    <row r="32" ht="15" customHeight="1" s="47">
      <c r="A32" s="183" t="n">
        <v>46204</v>
      </c>
      <c r="B32" s="182" t="inlineStr">
        <is>
          <t>T02</t>
        </is>
      </c>
      <c r="C32" s="182" t="inlineStr">
        <is>
          <t>EL-008</t>
        </is>
      </c>
      <c r="D32" s="59">
        <f>IFERROR(INDEX(Productos!$B$5:$B$124,MATCH($C32,Productos!$A$5:$A$124,0)),"")</f>
        <v/>
      </c>
      <c r="E32" s="59">
        <f>IFERROR(INDEX(Productos!$D$5:$D$124,MATCH($C32,Productos!$A$5:$A$124,0)),"")</f>
        <v/>
      </c>
      <c r="F32" s="186" t="n">
        <v>1</v>
      </c>
      <c r="G32" s="68">
        <f>IFERROR(INDEX(Productos!$H$5:$H$124,MATCH($C32,Productos!$A$5:$A$124,0)),"")</f>
        <v/>
      </c>
      <c r="H32" s="185" t="n">
        <v>0.06796116504854366</v>
      </c>
      <c r="I32" s="68">
        <f>IFERROR($G32*(1-$H32),"")</f>
        <v/>
      </c>
      <c r="J32" s="182" t="inlineStr">
        <is>
          <t>Tarjeta</t>
        </is>
      </c>
      <c r="K32" s="69">
        <f>IF($J32="",0,IF($J32="Contado",Inicio!$C$26,IF($J32="Tarjeta",Inicio!$C$27,IF($J32="Crédito propio",Inicio!$C$28,0))))</f>
        <v/>
      </c>
      <c r="L32" s="68">
        <f>IFERROR($F32*$I32,"")</f>
        <v/>
      </c>
      <c r="M32" s="68">
        <f>IFERROR($F32*INDEX(Productos!$G$5:$G$124,MATCH($C32,Productos!$A$5:$A$124,0)),"")</f>
        <v/>
      </c>
      <c r="N32" s="68">
        <f>IFERROR($L32*$K32,"")</f>
        <v/>
      </c>
      <c r="O32" s="68">
        <f>IFERROR($L32-$M32,"")</f>
        <v/>
      </c>
      <c r="P32" s="68">
        <f>IFERROR($O32-$N32,"")</f>
        <v/>
      </c>
      <c r="Q32" s="69">
        <f>IFERROR($P32/$L32,"")</f>
        <v/>
      </c>
    </row>
    <row r="33" ht="15" customHeight="1" s="47">
      <c r="A33" s="183" t="n">
        <v>46204</v>
      </c>
      <c r="B33" s="182" t="inlineStr">
        <is>
          <t>T02</t>
        </is>
      </c>
      <c r="C33" s="182" t="inlineStr">
        <is>
          <t>EL-013</t>
        </is>
      </c>
      <c r="D33" s="59">
        <f>IFERROR(INDEX(Productos!$B$5:$B$124,MATCH($C33,Productos!$A$5:$A$124,0)),"")</f>
        <v/>
      </c>
      <c r="E33" s="59">
        <f>IFERROR(INDEX(Productos!$D$5:$D$124,MATCH($C33,Productos!$A$5:$A$124,0)),"")</f>
        <v/>
      </c>
      <c r="F33" s="186" t="n">
        <v>2</v>
      </c>
      <c r="G33" s="68">
        <f>IFERROR(INDEX(Productos!$H$5:$H$124,MATCH($C33,Productos!$A$5:$A$124,0)),"")</f>
        <v/>
      </c>
      <c r="H33" s="185" t="n">
        <v>0.07000000000000001</v>
      </c>
      <c r="I33" s="68">
        <f>IFERROR($G33*(1-$H33),"")</f>
        <v/>
      </c>
      <c r="J33" s="182" t="inlineStr">
        <is>
          <t>Tarjeta</t>
        </is>
      </c>
      <c r="K33" s="69">
        <f>IF($J33="",0,IF($J33="Contado",Inicio!$C$26,IF($J33="Tarjeta",Inicio!$C$27,IF($J33="Crédito propio",Inicio!$C$28,0))))</f>
        <v/>
      </c>
      <c r="L33" s="68">
        <f>IFERROR($F33*$I33,"")</f>
        <v/>
      </c>
      <c r="M33" s="68">
        <f>IFERROR($F33*INDEX(Productos!$G$5:$G$124,MATCH($C33,Productos!$A$5:$A$124,0)),"")</f>
        <v/>
      </c>
      <c r="N33" s="68">
        <f>IFERROR($L33*$K33,"")</f>
        <v/>
      </c>
      <c r="O33" s="68">
        <f>IFERROR($L33-$M33,"")</f>
        <v/>
      </c>
      <c r="P33" s="68">
        <f>IFERROR($O33-$N33,"")</f>
        <v/>
      </c>
      <c r="Q33" s="69">
        <f>IFERROR($P33/$L33,"")</f>
        <v/>
      </c>
    </row>
    <row r="34" ht="15" customHeight="1" s="47">
      <c r="A34" s="183" t="n">
        <v>46204</v>
      </c>
      <c r="B34" s="182" t="inlineStr">
        <is>
          <t>T02</t>
        </is>
      </c>
      <c r="C34" s="182" t="inlineStr">
        <is>
          <t>EL-014</t>
        </is>
      </c>
      <c r="D34" s="59">
        <f>IFERROR(INDEX(Productos!$B$5:$B$124,MATCH($C34,Productos!$A$5:$A$124,0)),"")</f>
        <v/>
      </c>
      <c r="E34" s="59">
        <f>IFERROR(INDEX(Productos!$D$5:$D$124,MATCH($C34,Productos!$A$5:$A$124,0)),"")</f>
        <v/>
      </c>
      <c r="F34" s="186" t="n">
        <v>1</v>
      </c>
      <c r="G34" s="68">
        <f>IFERROR(INDEX(Productos!$H$5:$H$124,MATCH($C34,Productos!$A$5:$A$124,0)),"")</f>
        <v/>
      </c>
      <c r="H34" s="185" t="n">
        <v>0.05</v>
      </c>
      <c r="I34" s="68">
        <f>IFERROR($G34*(1-$H34),"")</f>
        <v/>
      </c>
      <c r="J34" s="182" t="inlineStr">
        <is>
          <t>Contado</t>
        </is>
      </c>
      <c r="K34" s="69">
        <f>IF($J34="",0,IF($J34="Contado",Inicio!$C$26,IF($J34="Tarjeta",Inicio!$C$27,IF($J34="Crédito propio",Inicio!$C$28,0))))</f>
        <v/>
      </c>
      <c r="L34" s="68">
        <f>IFERROR($F34*$I34,"")</f>
        <v/>
      </c>
      <c r="M34" s="68">
        <f>IFERROR($F34*INDEX(Productos!$G$5:$G$124,MATCH($C34,Productos!$A$5:$A$124,0)),"")</f>
        <v/>
      </c>
      <c r="N34" s="68">
        <f>IFERROR($L34*$K34,"")</f>
        <v/>
      </c>
      <c r="O34" s="68">
        <f>IFERROR($L34-$M34,"")</f>
        <v/>
      </c>
      <c r="P34" s="68">
        <f>IFERROR($O34-$N34,"")</f>
        <v/>
      </c>
      <c r="Q34" s="69">
        <f>IFERROR($P34/$L34,"")</f>
        <v/>
      </c>
    </row>
    <row r="35" ht="15" customHeight="1" s="47">
      <c r="A35" s="183" t="n">
        <v>46204</v>
      </c>
      <c r="B35" s="182" t="inlineStr">
        <is>
          <t>T02</t>
        </is>
      </c>
      <c r="C35" s="182" t="inlineStr">
        <is>
          <t>EL-018</t>
        </is>
      </c>
      <c r="D35" s="59">
        <f>IFERROR(INDEX(Productos!$B$5:$B$124,MATCH($C35,Productos!$A$5:$A$124,0)),"")</f>
        <v/>
      </c>
      <c r="E35" s="59">
        <f>IFERROR(INDEX(Productos!$D$5:$D$124,MATCH($C35,Productos!$A$5:$A$124,0)),"")</f>
        <v/>
      </c>
      <c r="F35" s="186" t="n">
        <v>1</v>
      </c>
      <c r="G35" s="68">
        <f>IFERROR(INDEX(Productos!$H$5:$H$124,MATCH($C35,Productos!$A$5:$A$124,0)),"")</f>
        <v/>
      </c>
      <c r="H35" s="185" t="n">
        <v>0.05</v>
      </c>
      <c r="I35" s="68">
        <f>IFERROR($G35*(1-$H35),"")</f>
        <v/>
      </c>
      <c r="J35" s="182" t="inlineStr">
        <is>
          <t>Contado</t>
        </is>
      </c>
      <c r="K35" s="69">
        <f>IF($J35="",0,IF($J35="Contado",Inicio!$C$26,IF($J35="Tarjeta",Inicio!$C$27,IF($J35="Crédito propio",Inicio!$C$28,0))))</f>
        <v/>
      </c>
      <c r="L35" s="68">
        <f>IFERROR($F35*$I35,"")</f>
        <v/>
      </c>
      <c r="M35" s="68">
        <f>IFERROR($F35*INDEX(Productos!$G$5:$G$124,MATCH($C35,Productos!$A$5:$A$124,0)),"")</f>
        <v/>
      </c>
      <c r="N35" s="68">
        <f>IFERROR($L35*$K35,"")</f>
        <v/>
      </c>
      <c r="O35" s="68">
        <f>IFERROR($L35-$M35,"")</f>
        <v/>
      </c>
      <c r="P35" s="68">
        <f>IFERROR($O35-$N35,"")</f>
        <v/>
      </c>
      <c r="Q35" s="69">
        <f>IFERROR($P35/$L35,"")</f>
        <v/>
      </c>
    </row>
    <row r="36" ht="15" customHeight="1" s="47">
      <c r="A36" s="183" t="n">
        <v>46204</v>
      </c>
      <c r="B36" s="182" t="inlineStr">
        <is>
          <t>T02</t>
        </is>
      </c>
      <c r="C36" s="182" t="inlineStr">
        <is>
          <t>EL-020</t>
        </is>
      </c>
      <c r="D36" s="59">
        <f>IFERROR(INDEX(Productos!$B$5:$B$124,MATCH($C36,Productos!$A$5:$A$124,0)),"")</f>
        <v/>
      </c>
      <c r="E36" s="59">
        <f>IFERROR(INDEX(Productos!$D$5:$D$124,MATCH($C36,Productos!$A$5:$A$124,0)),"")</f>
        <v/>
      </c>
      <c r="F36" s="186" t="n">
        <v>2</v>
      </c>
      <c r="G36" s="68">
        <f>IFERROR(INDEX(Productos!$H$5:$H$124,MATCH($C36,Productos!$A$5:$A$124,0)),"")</f>
        <v/>
      </c>
      <c r="H36" s="185" t="n">
        <v>0</v>
      </c>
      <c r="I36" s="68">
        <f>IFERROR($G36*(1-$H36),"")</f>
        <v/>
      </c>
      <c r="J36" s="182" t="inlineStr">
        <is>
          <t>Tarjeta</t>
        </is>
      </c>
      <c r="K36" s="69">
        <f>IF($J36="",0,IF($J36="Contado",Inicio!$C$26,IF($J36="Tarjeta",Inicio!$C$27,IF($J36="Crédito propio",Inicio!$C$28,0))))</f>
        <v/>
      </c>
      <c r="L36" s="68">
        <f>IFERROR($F36*$I36,"")</f>
        <v/>
      </c>
      <c r="M36" s="68">
        <f>IFERROR($F36*INDEX(Productos!$G$5:$G$124,MATCH($C36,Productos!$A$5:$A$124,0)),"")</f>
        <v/>
      </c>
      <c r="N36" s="68">
        <f>IFERROR($L36*$K36,"")</f>
        <v/>
      </c>
      <c r="O36" s="68">
        <f>IFERROR($L36-$M36,"")</f>
        <v/>
      </c>
      <c r="P36" s="68">
        <f>IFERROR($O36-$N36,"")</f>
        <v/>
      </c>
      <c r="Q36" s="69">
        <f>IFERROR($P36/$L36,"")</f>
        <v/>
      </c>
    </row>
    <row r="37" ht="15" customHeight="1" s="47">
      <c r="A37" s="183" t="n">
        <v>46204</v>
      </c>
      <c r="B37" s="182" t="inlineStr">
        <is>
          <t>T02</t>
        </is>
      </c>
      <c r="C37" s="182" t="inlineStr">
        <is>
          <t>EL-023</t>
        </is>
      </c>
      <c r="D37" s="59">
        <f>IFERROR(INDEX(Productos!$B$5:$B$124,MATCH($C37,Productos!$A$5:$A$124,0)),"")</f>
        <v/>
      </c>
      <c r="E37" s="59">
        <f>IFERROR(INDEX(Productos!$D$5:$D$124,MATCH($C37,Productos!$A$5:$A$124,0)),"")</f>
        <v/>
      </c>
      <c r="F37" s="186" t="n">
        <v>1</v>
      </c>
      <c r="G37" s="68">
        <f>IFERROR(INDEX(Productos!$H$5:$H$124,MATCH($C37,Productos!$A$5:$A$124,0)),"")</f>
        <v/>
      </c>
      <c r="H37" s="185" t="n">
        <v>0.05</v>
      </c>
      <c r="I37" s="68">
        <f>IFERROR($G37*(1-$H37),"")</f>
        <v/>
      </c>
      <c r="J37" s="182" t="inlineStr">
        <is>
          <t>Tarjeta</t>
        </is>
      </c>
      <c r="K37" s="69">
        <f>IF($J37="",0,IF($J37="Contado",Inicio!$C$26,IF($J37="Tarjeta",Inicio!$C$27,IF($J37="Crédito propio",Inicio!$C$28,0))))</f>
        <v/>
      </c>
      <c r="L37" s="68">
        <f>IFERROR($F37*$I37,"")</f>
        <v/>
      </c>
      <c r="M37" s="68">
        <f>IFERROR($F37*INDEX(Productos!$G$5:$G$124,MATCH($C37,Productos!$A$5:$A$124,0)),"")</f>
        <v/>
      </c>
      <c r="N37" s="68">
        <f>IFERROR($L37*$K37,"")</f>
        <v/>
      </c>
      <c r="O37" s="68">
        <f>IFERROR($L37-$M37,"")</f>
        <v/>
      </c>
      <c r="P37" s="68">
        <f>IFERROR($O37-$N37,"")</f>
        <v/>
      </c>
      <c r="Q37" s="69">
        <f>IFERROR($P37/$L37,"")</f>
        <v/>
      </c>
    </row>
    <row r="38" ht="15" customHeight="1" s="47">
      <c r="A38" s="183" t="n">
        <v>46204</v>
      </c>
      <c r="B38" s="182" t="inlineStr">
        <is>
          <t>T02</t>
        </is>
      </c>
      <c r="C38" s="182" t="inlineStr">
        <is>
          <t>EL-029</t>
        </is>
      </c>
      <c r="D38" s="59">
        <f>IFERROR(INDEX(Productos!$B$5:$B$124,MATCH($C38,Productos!$A$5:$A$124,0)),"")</f>
        <v/>
      </c>
      <c r="E38" s="59">
        <f>IFERROR(INDEX(Productos!$D$5:$D$124,MATCH($C38,Productos!$A$5:$A$124,0)),"")</f>
        <v/>
      </c>
      <c r="F38" s="186" t="n">
        <v>2</v>
      </c>
      <c r="G38" s="68">
        <f>IFERROR(INDEX(Productos!$H$5:$H$124,MATCH($C38,Productos!$A$5:$A$124,0)),"")</f>
        <v/>
      </c>
      <c r="H38" s="185" t="n">
        <v>0</v>
      </c>
      <c r="I38" s="68">
        <f>IFERROR($G38*(1-$H38),"")</f>
        <v/>
      </c>
      <c r="J38" s="182" t="inlineStr">
        <is>
          <t>Tarjeta</t>
        </is>
      </c>
      <c r="K38" s="69">
        <f>IF($J38="",0,IF($J38="Contado",Inicio!$C$26,IF($J38="Tarjeta",Inicio!$C$27,IF($J38="Crédito propio",Inicio!$C$28,0))))</f>
        <v/>
      </c>
      <c r="L38" s="68">
        <f>IFERROR($F38*$I38,"")</f>
        <v/>
      </c>
      <c r="M38" s="68">
        <f>IFERROR($F38*INDEX(Productos!$G$5:$G$124,MATCH($C38,Productos!$A$5:$A$124,0)),"")</f>
        <v/>
      </c>
      <c r="N38" s="68">
        <f>IFERROR($L38*$K38,"")</f>
        <v/>
      </c>
      <c r="O38" s="68">
        <f>IFERROR($L38-$M38,"")</f>
        <v/>
      </c>
      <c r="P38" s="68">
        <f>IFERROR($O38-$N38,"")</f>
        <v/>
      </c>
      <c r="Q38" s="69">
        <f>IFERROR($P38/$L38,"")</f>
        <v/>
      </c>
    </row>
    <row r="39" ht="15" customHeight="1" s="47">
      <c r="A39" s="183" t="n">
        <v>46204</v>
      </c>
      <c r="B39" s="182" t="inlineStr">
        <is>
          <t>T02</t>
        </is>
      </c>
      <c r="C39" s="182" t="inlineStr">
        <is>
          <t>EL-031</t>
        </is>
      </c>
      <c r="D39" s="59">
        <f>IFERROR(INDEX(Productos!$B$5:$B$124,MATCH($C39,Productos!$A$5:$A$124,0)),"")</f>
        <v/>
      </c>
      <c r="E39" s="59">
        <f>IFERROR(INDEX(Productos!$D$5:$D$124,MATCH($C39,Productos!$A$5:$A$124,0)),"")</f>
        <v/>
      </c>
      <c r="F39" s="186" t="n">
        <v>1</v>
      </c>
      <c r="G39" s="68">
        <f>IFERROR(INDEX(Productos!$H$5:$H$124,MATCH($C39,Productos!$A$5:$A$124,0)),"")</f>
        <v/>
      </c>
      <c r="H39" s="185" t="n">
        <v>0</v>
      </c>
      <c r="I39" s="68">
        <f>IFERROR($G39*(1-$H39),"")</f>
        <v/>
      </c>
      <c r="J39" s="182" t="inlineStr">
        <is>
          <t>Tarjeta</t>
        </is>
      </c>
      <c r="K39" s="69">
        <f>IF($J39="",0,IF($J39="Contado",Inicio!$C$26,IF($J39="Tarjeta",Inicio!$C$27,IF($J39="Crédito propio",Inicio!$C$28,0))))</f>
        <v/>
      </c>
      <c r="L39" s="68">
        <f>IFERROR($F39*$I39,"")</f>
        <v/>
      </c>
      <c r="M39" s="68">
        <f>IFERROR($F39*INDEX(Productos!$G$5:$G$124,MATCH($C39,Productos!$A$5:$A$124,0)),"")</f>
        <v/>
      </c>
      <c r="N39" s="68">
        <f>IFERROR($L39*$K39,"")</f>
        <v/>
      </c>
      <c r="O39" s="68">
        <f>IFERROR($L39-$M39,"")</f>
        <v/>
      </c>
      <c r="P39" s="68">
        <f>IFERROR($O39-$N39,"")</f>
        <v/>
      </c>
      <c r="Q39" s="69">
        <f>IFERROR($P39/$L39,"")</f>
        <v/>
      </c>
    </row>
    <row r="40" ht="15" customHeight="1" s="47">
      <c r="A40" s="183" t="n">
        <v>46204</v>
      </c>
      <c r="B40" s="182" t="inlineStr">
        <is>
          <t>T02</t>
        </is>
      </c>
      <c r="C40" s="182" t="inlineStr">
        <is>
          <t>EL-034</t>
        </is>
      </c>
      <c r="D40" s="59">
        <f>IFERROR(INDEX(Productos!$B$5:$B$124,MATCH($C40,Productos!$A$5:$A$124,0)),"")</f>
        <v/>
      </c>
      <c r="E40" s="59">
        <f>IFERROR(INDEX(Productos!$D$5:$D$124,MATCH($C40,Productos!$A$5:$A$124,0)),"")</f>
        <v/>
      </c>
      <c r="F40" s="186" t="n">
        <v>2</v>
      </c>
      <c r="G40" s="68">
        <f>IFERROR(INDEX(Productos!$H$5:$H$124,MATCH($C40,Productos!$A$5:$A$124,0)),"")</f>
        <v/>
      </c>
      <c r="H40" s="185" t="n">
        <v>0.05</v>
      </c>
      <c r="I40" s="68">
        <f>IFERROR($G40*(1-$H40),"")</f>
        <v/>
      </c>
      <c r="J40" s="182" t="inlineStr">
        <is>
          <t>Contado</t>
        </is>
      </c>
      <c r="K40" s="69">
        <f>IF($J40="",0,IF($J40="Contado",Inicio!$C$26,IF($J40="Tarjeta",Inicio!$C$27,IF($J40="Crédito propio",Inicio!$C$28,0))))</f>
        <v/>
      </c>
      <c r="L40" s="68">
        <f>IFERROR($F40*$I40,"")</f>
        <v/>
      </c>
      <c r="M40" s="68">
        <f>IFERROR($F40*INDEX(Productos!$G$5:$G$124,MATCH($C40,Productos!$A$5:$A$124,0)),"")</f>
        <v/>
      </c>
      <c r="N40" s="68">
        <f>IFERROR($L40*$K40,"")</f>
        <v/>
      </c>
      <c r="O40" s="68">
        <f>IFERROR($L40-$M40,"")</f>
        <v/>
      </c>
      <c r="P40" s="68">
        <f>IFERROR($O40-$N40,"")</f>
        <v/>
      </c>
      <c r="Q40" s="69">
        <f>IFERROR($P40/$L40,"")</f>
        <v/>
      </c>
    </row>
    <row r="41" ht="15" customHeight="1" s="47">
      <c r="A41" s="183" t="n">
        <v>46204</v>
      </c>
      <c r="B41" s="182" t="inlineStr">
        <is>
          <t>T02</t>
        </is>
      </c>
      <c r="C41" s="182" t="inlineStr">
        <is>
          <t>EL-035</t>
        </is>
      </c>
      <c r="D41" s="59">
        <f>IFERROR(INDEX(Productos!$B$5:$B$124,MATCH($C41,Productos!$A$5:$A$124,0)),"")</f>
        <v/>
      </c>
      <c r="E41" s="59">
        <f>IFERROR(INDEX(Productos!$D$5:$D$124,MATCH($C41,Productos!$A$5:$A$124,0)),"")</f>
        <v/>
      </c>
      <c r="F41" s="186" t="n">
        <v>1</v>
      </c>
      <c r="G41" s="68">
        <f>IFERROR(INDEX(Productos!$H$5:$H$124,MATCH($C41,Productos!$A$5:$A$124,0)),"")</f>
        <v/>
      </c>
      <c r="H41" s="185" t="n">
        <v>0.05</v>
      </c>
      <c r="I41" s="68">
        <f>IFERROR($G41*(1-$H41),"")</f>
        <v/>
      </c>
      <c r="J41" s="182" t="inlineStr">
        <is>
          <t>Tarjeta</t>
        </is>
      </c>
      <c r="K41" s="69">
        <f>IF($J41="",0,IF($J41="Contado",Inicio!$C$26,IF($J41="Tarjeta",Inicio!$C$27,IF($J41="Crédito propio",Inicio!$C$28,0))))</f>
        <v/>
      </c>
      <c r="L41" s="68">
        <f>IFERROR($F41*$I41,"")</f>
        <v/>
      </c>
      <c r="M41" s="68">
        <f>IFERROR($F41*INDEX(Productos!$G$5:$G$124,MATCH($C41,Productos!$A$5:$A$124,0)),"")</f>
        <v/>
      </c>
      <c r="N41" s="68">
        <f>IFERROR($L41*$K41,"")</f>
        <v/>
      </c>
      <c r="O41" s="68">
        <f>IFERROR($L41-$M41,"")</f>
        <v/>
      </c>
      <c r="P41" s="68">
        <f>IFERROR($O41-$N41,"")</f>
        <v/>
      </c>
      <c r="Q41" s="69">
        <f>IFERROR($P41/$L41,"")</f>
        <v/>
      </c>
    </row>
    <row r="42" ht="15" customHeight="1" s="47">
      <c r="A42" s="183" t="n">
        <v>46204</v>
      </c>
      <c r="B42" s="182" t="inlineStr">
        <is>
          <t>T02</t>
        </is>
      </c>
      <c r="C42" s="182" t="inlineStr">
        <is>
          <t>EL-039</t>
        </is>
      </c>
      <c r="D42" s="59">
        <f>IFERROR(INDEX(Productos!$B$5:$B$124,MATCH($C42,Productos!$A$5:$A$124,0)),"")</f>
        <v/>
      </c>
      <c r="E42" s="59">
        <f>IFERROR(INDEX(Productos!$D$5:$D$124,MATCH($C42,Productos!$A$5:$A$124,0)),"")</f>
        <v/>
      </c>
      <c r="F42" s="186" t="n">
        <v>1</v>
      </c>
      <c r="G42" s="68">
        <f>IFERROR(INDEX(Productos!$H$5:$H$124,MATCH($C42,Productos!$A$5:$A$124,0)),"")</f>
        <v/>
      </c>
      <c r="H42" s="185" t="n">
        <v>0.05</v>
      </c>
      <c r="I42" s="68">
        <f>IFERROR($G42*(1-$H42),"")</f>
        <v/>
      </c>
      <c r="J42" s="182" t="inlineStr">
        <is>
          <t>Tarjeta</t>
        </is>
      </c>
      <c r="K42" s="69">
        <f>IF($J42="",0,IF($J42="Contado",Inicio!$C$26,IF($J42="Tarjeta",Inicio!$C$27,IF($J42="Crédito propio",Inicio!$C$28,0))))</f>
        <v/>
      </c>
      <c r="L42" s="68">
        <f>IFERROR($F42*$I42,"")</f>
        <v/>
      </c>
      <c r="M42" s="68">
        <f>IFERROR($F42*INDEX(Productos!$G$5:$G$124,MATCH($C42,Productos!$A$5:$A$124,0)),"")</f>
        <v/>
      </c>
      <c r="N42" s="68">
        <f>IFERROR($L42*$K42,"")</f>
        <v/>
      </c>
      <c r="O42" s="68">
        <f>IFERROR($L42-$M42,"")</f>
        <v/>
      </c>
      <c r="P42" s="68">
        <f>IFERROR($O42-$N42,"")</f>
        <v/>
      </c>
      <c r="Q42" s="69">
        <f>IFERROR($P42/$L42,"")</f>
        <v/>
      </c>
    </row>
    <row r="43" ht="15" customHeight="1" s="47">
      <c r="A43" s="183" t="n">
        <v>46204</v>
      </c>
      <c r="B43" s="182" t="inlineStr">
        <is>
          <t>T02</t>
        </is>
      </c>
      <c r="C43" s="182" t="inlineStr">
        <is>
          <t>EL-041</t>
        </is>
      </c>
      <c r="D43" s="59">
        <f>IFERROR(INDEX(Productos!$B$5:$B$124,MATCH($C43,Productos!$A$5:$A$124,0)),"")</f>
        <v/>
      </c>
      <c r="E43" s="59">
        <f>IFERROR(INDEX(Productos!$D$5:$D$124,MATCH($C43,Productos!$A$5:$A$124,0)),"")</f>
        <v/>
      </c>
      <c r="F43" s="186" t="n">
        <v>2</v>
      </c>
      <c r="G43" s="68">
        <f>IFERROR(INDEX(Productos!$H$5:$H$124,MATCH($C43,Productos!$A$5:$A$124,0)),"")</f>
        <v/>
      </c>
      <c r="H43" s="185" t="n">
        <v>0.0703125</v>
      </c>
      <c r="I43" s="68">
        <f>IFERROR($G43*(1-$H43),"")</f>
        <v/>
      </c>
      <c r="J43" s="182" t="inlineStr">
        <is>
          <t>Tarjeta</t>
        </is>
      </c>
      <c r="K43" s="69">
        <f>IF($J43="",0,IF($J43="Contado",Inicio!$C$26,IF($J43="Tarjeta",Inicio!$C$27,IF($J43="Crédito propio",Inicio!$C$28,0))))</f>
        <v/>
      </c>
      <c r="L43" s="68">
        <f>IFERROR($F43*$I43,"")</f>
        <v/>
      </c>
      <c r="M43" s="68">
        <f>IFERROR($F43*INDEX(Productos!$G$5:$G$124,MATCH($C43,Productos!$A$5:$A$124,0)),"")</f>
        <v/>
      </c>
      <c r="N43" s="68">
        <f>IFERROR($L43*$K43,"")</f>
        <v/>
      </c>
      <c r="O43" s="68">
        <f>IFERROR($L43-$M43,"")</f>
        <v/>
      </c>
      <c r="P43" s="68">
        <f>IFERROR($O43-$N43,"")</f>
        <v/>
      </c>
      <c r="Q43" s="69">
        <f>IFERROR($P43/$L43,"")</f>
        <v/>
      </c>
    </row>
    <row r="44" ht="15" customHeight="1" s="47">
      <c r="A44" s="183" t="n">
        <v>46204</v>
      </c>
      <c r="B44" s="182" t="inlineStr">
        <is>
          <t>T02</t>
        </is>
      </c>
      <c r="C44" s="182" t="inlineStr">
        <is>
          <t>EL-046</t>
        </is>
      </c>
      <c r="D44" s="59">
        <f>IFERROR(INDEX(Productos!$B$5:$B$124,MATCH($C44,Productos!$A$5:$A$124,0)),"")</f>
        <v/>
      </c>
      <c r="E44" s="59">
        <f>IFERROR(INDEX(Productos!$D$5:$D$124,MATCH($C44,Productos!$A$5:$A$124,0)),"")</f>
        <v/>
      </c>
      <c r="F44" s="186" t="n">
        <v>2</v>
      </c>
      <c r="G44" s="68">
        <f>IFERROR(INDEX(Productos!$H$5:$H$124,MATCH($C44,Productos!$A$5:$A$124,0)),"")</f>
        <v/>
      </c>
      <c r="H44" s="185" t="n">
        <v>0.061</v>
      </c>
      <c r="I44" s="68">
        <f>IFERROR($G44*(1-$H44),"")</f>
        <v/>
      </c>
      <c r="J44" s="182" t="inlineStr">
        <is>
          <t>Crédito propio</t>
        </is>
      </c>
      <c r="K44" s="69">
        <f>IF($J44="",0,IF($J44="Contado",Inicio!$C$26,IF($J44="Tarjeta",Inicio!$C$27,IF($J44="Crédito propio",Inicio!$C$28,0))))</f>
        <v/>
      </c>
      <c r="L44" s="68">
        <f>IFERROR($F44*$I44,"")</f>
        <v/>
      </c>
      <c r="M44" s="68">
        <f>IFERROR($F44*INDEX(Productos!$G$5:$G$124,MATCH($C44,Productos!$A$5:$A$124,0)),"")</f>
        <v/>
      </c>
      <c r="N44" s="68">
        <f>IFERROR($L44*$K44,"")</f>
        <v/>
      </c>
      <c r="O44" s="68">
        <f>IFERROR($L44-$M44,"")</f>
        <v/>
      </c>
      <c r="P44" s="68">
        <f>IFERROR($O44-$N44,"")</f>
        <v/>
      </c>
      <c r="Q44" s="69">
        <f>IFERROR($P44/$L44,"")</f>
        <v/>
      </c>
    </row>
    <row r="45" ht="15" customHeight="1" s="47">
      <c r="A45" s="183" t="n">
        <v>46204</v>
      </c>
      <c r="B45" s="182" t="inlineStr">
        <is>
          <t>T02</t>
        </is>
      </c>
      <c r="C45" s="182" t="inlineStr">
        <is>
          <t>EL-049</t>
        </is>
      </c>
      <c r="D45" s="59">
        <f>IFERROR(INDEX(Productos!$B$5:$B$124,MATCH($C45,Productos!$A$5:$A$124,0)),"")</f>
        <v/>
      </c>
      <c r="E45" s="59">
        <f>IFERROR(INDEX(Productos!$D$5:$D$124,MATCH($C45,Productos!$A$5:$A$124,0)),"")</f>
        <v/>
      </c>
      <c r="F45" s="186" t="n">
        <v>1</v>
      </c>
      <c r="G45" s="68">
        <f>IFERROR(INDEX(Productos!$H$5:$H$124,MATCH($C45,Productos!$A$5:$A$124,0)),"")</f>
        <v/>
      </c>
      <c r="H45" s="185" t="n">
        <v>0.03</v>
      </c>
      <c r="I45" s="68">
        <f>IFERROR($G45*(1-$H45),"")</f>
        <v/>
      </c>
      <c r="J45" s="182" t="inlineStr">
        <is>
          <t>Contado</t>
        </is>
      </c>
      <c r="K45" s="69">
        <f>IF($J45="",0,IF($J45="Contado",Inicio!$C$26,IF($J45="Tarjeta",Inicio!$C$27,IF($J45="Crédito propio",Inicio!$C$28,0))))</f>
        <v/>
      </c>
      <c r="L45" s="68">
        <f>IFERROR($F45*$I45,"")</f>
        <v/>
      </c>
      <c r="M45" s="68">
        <f>IFERROR($F45*INDEX(Productos!$G$5:$G$124,MATCH($C45,Productos!$A$5:$A$124,0)),"")</f>
        <v/>
      </c>
      <c r="N45" s="68">
        <f>IFERROR($L45*$K45,"")</f>
        <v/>
      </c>
      <c r="O45" s="68">
        <f>IFERROR($L45-$M45,"")</f>
        <v/>
      </c>
      <c r="P45" s="68">
        <f>IFERROR($O45-$N45,"")</f>
        <v/>
      </c>
      <c r="Q45" s="69">
        <f>IFERROR($P45/$L45,"")</f>
        <v/>
      </c>
    </row>
    <row r="46" ht="15" customHeight="1" s="47">
      <c r="A46" s="183" t="n">
        <v>46204</v>
      </c>
      <c r="B46" s="182" t="inlineStr">
        <is>
          <t>T03</t>
        </is>
      </c>
      <c r="C46" s="182" t="inlineStr">
        <is>
          <t>EL-001</t>
        </is>
      </c>
      <c r="D46" s="59">
        <f>IFERROR(INDEX(Productos!$B$5:$B$124,MATCH($C46,Productos!$A$5:$A$124,0)),"")</f>
        <v/>
      </c>
      <c r="E46" s="59">
        <f>IFERROR(INDEX(Productos!$D$5:$D$124,MATCH($C46,Productos!$A$5:$A$124,0)),"")</f>
        <v/>
      </c>
      <c r="F46" s="186" t="n">
        <v>1</v>
      </c>
      <c r="G46" s="68">
        <f>IFERROR(INDEX(Productos!$H$5:$H$124,MATCH($C46,Productos!$A$5:$A$124,0)),"")</f>
        <v/>
      </c>
      <c r="H46" s="185" t="n">
        <v>0</v>
      </c>
      <c r="I46" s="68">
        <f>IFERROR($G46*(1-$H46),"")</f>
        <v/>
      </c>
      <c r="J46" s="182" t="inlineStr">
        <is>
          <t>Tarjeta</t>
        </is>
      </c>
      <c r="K46" s="69">
        <f>IF($J46="",0,IF($J46="Contado",Inicio!$C$26,IF($J46="Tarjeta",Inicio!$C$27,IF($J46="Crédito propio",Inicio!$C$28,0))))</f>
        <v/>
      </c>
      <c r="L46" s="68">
        <f>IFERROR($F46*$I46,"")</f>
        <v/>
      </c>
      <c r="M46" s="68">
        <f>IFERROR($F46*INDEX(Productos!$G$5:$G$124,MATCH($C46,Productos!$A$5:$A$124,0)),"")</f>
        <v/>
      </c>
      <c r="N46" s="68">
        <f>IFERROR($L46*$K46,"")</f>
        <v/>
      </c>
      <c r="O46" s="68">
        <f>IFERROR($L46-$M46,"")</f>
        <v/>
      </c>
      <c r="P46" s="68">
        <f>IFERROR($O46-$N46,"")</f>
        <v/>
      </c>
      <c r="Q46" s="69">
        <f>IFERROR($P46/$L46,"")</f>
        <v/>
      </c>
    </row>
    <row r="47" ht="15" customHeight="1" s="47">
      <c r="A47" s="183" t="n">
        <v>46204</v>
      </c>
      <c r="B47" s="182" t="inlineStr">
        <is>
          <t>T03</t>
        </is>
      </c>
      <c r="C47" s="182" t="inlineStr">
        <is>
          <t>EL-002</t>
        </is>
      </c>
      <c r="D47" s="59">
        <f>IFERROR(INDEX(Productos!$B$5:$B$124,MATCH($C47,Productos!$A$5:$A$124,0)),"")</f>
        <v/>
      </c>
      <c r="E47" s="59">
        <f>IFERROR(INDEX(Productos!$D$5:$D$124,MATCH($C47,Productos!$A$5:$A$124,0)),"")</f>
        <v/>
      </c>
      <c r="F47" s="186" t="n">
        <v>1</v>
      </c>
      <c r="G47" s="68">
        <f>IFERROR(INDEX(Productos!$H$5:$H$124,MATCH($C47,Productos!$A$5:$A$124,0)),"")</f>
        <v/>
      </c>
      <c r="H47" s="185" t="n">
        <v>0.05</v>
      </c>
      <c r="I47" s="68">
        <f>IFERROR($G47*(1-$H47),"")</f>
        <v/>
      </c>
      <c r="J47" s="182" t="inlineStr">
        <is>
          <t>Contado</t>
        </is>
      </c>
      <c r="K47" s="69">
        <f>IF($J47="",0,IF($J47="Contado",Inicio!$C$26,IF($J47="Tarjeta",Inicio!$C$27,IF($J47="Crédito propio",Inicio!$C$28,0))))</f>
        <v/>
      </c>
      <c r="L47" s="68">
        <f>IFERROR($F47*$I47,"")</f>
        <v/>
      </c>
      <c r="M47" s="68">
        <f>IFERROR($F47*INDEX(Productos!$G$5:$G$124,MATCH($C47,Productos!$A$5:$A$124,0)),"")</f>
        <v/>
      </c>
      <c r="N47" s="68">
        <f>IFERROR($L47*$K47,"")</f>
        <v/>
      </c>
      <c r="O47" s="68">
        <f>IFERROR($L47-$M47,"")</f>
        <v/>
      </c>
      <c r="P47" s="68">
        <f>IFERROR($O47-$N47,"")</f>
        <v/>
      </c>
      <c r="Q47" s="69">
        <f>IFERROR($P47/$L47,"")</f>
        <v/>
      </c>
    </row>
    <row r="48" ht="15" customHeight="1" s="47">
      <c r="A48" s="183" t="n">
        <v>46204</v>
      </c>
      <c r="B48" s="182" t="inlineStr">
        <is>
          <t>T03</t>
        </is>
      </c>
      <c r="C48" s="182" t="inlineStr">
        <is>
          <t>EL-006</t>
        </is>
      </c>
      <c r="D48" s="59">
        <f>IFERROR(INDEX(Productos!$B$5:$B$124,MATCH($C48,Productos!$A$5:$A$124,0)),"")</f>
        <v/>
      </c>
      <c r="E48" s="59">
        <f>IFERROR(INDEX(Productos!$D$5:$D$124,MATCH($C48,Productos!$A$5:$A$124,0)),"")</f>
        <v/>
      </c>
      <c r="F48" s="186" t="n">
        <v>1</v>
      </c>
      <c r="G48" s="68">
        <f>IFERROR(INDEX(Productos!$H$5:$H$124,MATCH($C48,Productos!$A$5:$A$124,0)),"")</f>
        <v/>
      </c>
      <c r="H48" s="185" t="n">
        <v>0</v>
      </c>
      <c r="I48" s="68">
        <f>IFERROR($G48*(1-$H48),"")</f>
        <v/>
      </c>
      <c r="J48" s="182" t="inlineStr">
        <is>
          <t>Tarjeta</t>
        </is>
      </c>
      <c r="K48" s="69">
        <f>IF($J48="",0,IF($J48="Contado",Inicio!$C$26,IF($J48="Tarjeta",Inicio!$C$27,IF($J48="Crédito propio",Inicio!$C$28,0))))</f>
        <v/>
      </c>
      <c r="L48" s="68">
        <f>IFERROR($F48*$I48,"")</f>
        <v/>
      </c>
      <c r="M48" s="68">
        <f>IFERROR($F48*INDEX(Productos!$G$5:$G$124,MATCH($C48,Productos!$A$5:$A$124,0)),"")</f>
        <v/>
      </c>
      <c r="N48" s="68">
        <f>IFERROR($L48*$K48,"")</f>
        <v/>
      </c>
      <c r="O48" s="68">
        <f>IFERROR($L48-$M48,"")</f>
        <v/>
      </c>
      <c r="P48" s="68">
        <f>IFERROR($O48-$N48,"")</f>
        <v/>
      </c>
      <c r="Q48" s="69">
        <f>IFERROR($P48/$L48,"")</f>
        <v/>
      </c>
    </row>
    <row r="49" ht="15" customHeight="1" s="47">
      <c r="A49" s="183" t="n">
        <v>46204</v>
      </c>
      <c r="B49" s="182" t="inlineStr">
        <is>
          <t>T03</t>
        </is>
      </c>
      <c r="C49" s="182" t="inlineStr">
        <is>
          <t>EL-011</t>
        </is>
      </c>
      <c r="D49" s="59">
        <f>IFERROR(INDEX(Productos!$B$5:$B$124,MATCH($C49,Productos!$A$5:$A$124,0)),"")</f>
        <v/>
      </c>
      <c r="E49" s="59">
        <f>IFERROR(INDEX(Productos!$D$5:$D$124,MATCH($C49,Productos!$A$5:$A$124,0)),"")</f>
        <v/>
      </c>
      <c r="F49" s="186" t="n">
        <v>1</v>
      </c>
      <c r="G49" s="68">
        <f>IFERROR(INDEX(Productos!$H$5:$H$124,MATCH($C49,Productos!$A$5:$A$124,0)),"")</f>
        <v/>
      </c>
      <c r="H49" s="185" t="n">
        <v>0.07291666666666663</v>
      </c>
      <c r="I49" s="68">
        <f>IFERROR($G49*(1-$H49),"")</f>
        <v/>
      </c>
      <c r="J49" s="182" t="inlineStr">
        <is>
          <t>Tarjeta</t>
        </is>
      </c>
      <c r="K49" s="69">
        <f>IF($J49="",0,IF($J49="Contado",Inicio!$C$26,IF($J49="Tarjeta",Inicio!$C$27,IF($J49="Crédito propio",Inicio!$C$28,0))))</f>
        <v/>
      </c>
      <c r="L49" s="68">
        <f>IFERROR($F49*$I49,"")</f>
        <v/>
      </c>
      <c r="M49" s="68">
        <f>IFERROR($F49*INDEX(Productos!$G$5:$G$124,MATCH($C49,Productos!$A$5:$A$124,0)),"")</f>
        <v/>
      </c>
      <c r="N49" s="68">
        <f>IFERROR($L49*$K49,"")</f>
        <v/>
      </c>
      <c r="O49" s="68">
        <f>IFERROR($L49-$M49,"")</f>
        <v/>
      </c>
      <c r="P49" s="68">
        <f>IFERROR($O49-$N49,"")</f>
        <v/>
      </c>
      <c r="Q49" s="69">
        <f>IFERROR($P49/$L49,"")</f>
        <v/>
      </c>
    </row>
    <row r="50" ht="15" customHeight="1" s="47">
      <c r="A50" s="183" t="n">
        <v>46204</v>
      </c>
      <c r="B50" s="182" t="inlineStr">
        <is>
          <t>T03</t>
        </is>
      </c>
      <c r="C50" s="182" t="inlineStr">
        <is>
          <t>EL-013</t>
        </is>
      </c>
      <c r="D50" s="59">
        <f>IFERROR(INDEX(Productos!$B$5:$B$124,MATCH($C50,Productos!$A$5:$A$124,0)),"")</f>
        <v/>
      </c>
      <c r="E50" s="59">
        <f>IFERROR(INDEX(Productos!$D$5:$D$124,MATCH($C50,Productos!$A$5:$A$124,0)),"")</f>
        <v/>
      </c>
      <c r="F50" s="186" t="n">
        <v>1</v>
      </c>
      <c r="G50" s="68">
        <f>IFERROR(INDEX(Productos!$H$5:$H$124,MATCH($C50,Productos!$A$5:$A$124,0)),"")</f>
        <v/>
      </c>
      <c r="H50" s="185" t="n">
        <v>0</v>
      </c>
      <c r="I50" s="68">
        <f>IFERROR($G50*(1-$H50),"")</f>
        <v/>
      </c>
      <c r="J50" s="182" t="inlineStr">
        <is>
          <t>Contado</t>
        </is>
      </c>
      <c r="K50" s="69">
        <f>IF($J50="",0,IF($J50="Contado",Inicio!$C$26,IF($J50="Tarjeta",Inicio!$C$27,IF($J50="Crédito propio",Inicio!$C$28,0))))</f>
        <v/>
      </c>
      <c r="L50" s="68">
        <f>IFERROR($F50*$I50,"")</f>
        <v/>
      </c>
      <c r="M50" s="68">
        <f>IFERROR($F50*INDEX(Productos!$G$5:$G$124,MATCH($C50,Productos!$A$5:$A$124,0)),"")</f>
        <v/>
      </c>
      <c r="N50" s="68">
        <f>IFERROR($L50*$K50,"")</f>
        <v/>
      </c>
      <c r="O50" s="68">
        <f>IFERROR($L50-$M50,"")</f>
        <v/>
      </c>
      <c r="P50" s="68">
        <f>IFERROR($O50-$N50,"")</f>
        <v/>
      </c>
      <c r="Q50" s="69">
        <f>IFERROR($P50/$L50,"")</f>
        <v/>
      </c>
    </row>
    <row r="51" ht="15" customHeight="1" s="47">
      <c r="A51" s="183" t="n">
        <v>46204</v>
      </c>
      <c r="B51" s="182" t="inlineStr">
        <is>
          <t>T03</t>
        </is>
      </c>
      <c r="C51" s="182" t="inlineStr">
        <is>
          <t>EL-014</t>
        </is>
      </c>
      <c r="D51" s="59">
        <f>IFERROR(INDEX(Productos!$B$5:$B$124,MATCH($C51,Productos!$A$5:$A$124,0)),"")</f>
        <v/>
      </c>
      <c r="E51" s="59">
        <f>IFERROR(INDEX(Productos!$D$5:$D$124,MATCH($C51,Productos!$A$5:$A$124,0)),"")</f>
        <v/>
      </c>
      <c r="F51" s="186" t="n">
        <v>1</v>
      </c>
      <c r="G51" s="68">
        <f>IFERROR(INDEX(Productos!$H$5:$H$124,MATCH($C51,Productos!$A$5:$A$124,0)),"")</f>
        <v/>
      </c>
      <c r="H51" s="185" t="n">
        <v>0</v>
      </c>
      <c r="I51" s="68">
        <f>IFERROR($G51*(1-$H51),"")</f>
        <v/>
      </c>
      <c r="J51" s="182" t="inlineStr">
        <is>
          <t>Contado</t>
        </is>
      </c>
      <c r="K51" s="69">
        <f>IF($J51="",0,IF($J51="Contado",Inicio!$C$26,IF($J51="Tarjeta",Inicio!$C$27,IF($J51="Crédito propio",Inicio!$C$28,0))))</f>
        <v/>
      </c>
      <c r="L51" s="68">
        <f>IFERROR($F51*$I51,"")</f>
        <v/>
      </c>
      <c r="M51" s="68">
        <f>IFERROR($F51*INDEX(Productos!$G$5:$G$124,MATCH($C51,Productos!$A$5:$A$124,0)),"")</f>
        <v/>
      </c>
      <c r="N51" s="68">
        <f>IFERROR($L51*$K51,"")</f>
        <v/>
      </c>
      <c r="O51" s="68">
        <f>IFERROR($L51-$M51,"")</f>
        <v/>
      </c>
      <c r="P51" s="68">
        <f>IFERROR($O51-$N51,"")</f>
        <v/>
      </c>
      <c r="Q51" s="69">
        <f>IFERROR($P51/$L51,"")</f>
        <v/>
      </c>
    </row>
    <row r="52" ht="15" customHeight="1" s="47">
      <c r="A52" s="183" t="n">
        <v>46204</v>
      </c>
      <c r="B52" s="182" t="inlineStr">
        <is>
          <t>T03</t>
        </is>
      </c>
      <c r="C52" s="182" t="inlineStr">
        <is>
          <t>EL-018</t>
        </is>
      </c>
      <c r="D52" s="59">
        <f>IFERROR(INDEX(Productos!$B$5:$B$124,MATCH($C52,Productos!$A$5:$A$124,0)),"")</f>
        <v/>
      </c>
      <c r="E52" s="59">
        <f>IFERROR(INDEX(Productos!$D$5:$D$124,MATCH($C52,Productos!$A$5:$A$124,0)),"")</f>
        <v/>
      </c>
      <c r="F52" s="186" t="n">
        <v>2</v>
      </c>
      <c r="G52" s="68">
        <f>IFERROR(INDEX(Productos!$H$5:$H$124,MATCH($C52,Productos!$A$5:$A$124,0)),"")</f>
        <v/>
      </c>
      <c r="H52" s="185" t="n">
        <v>0</v>
      </c>
      <c r="I52" s="68">
        <f>IFERROR($G52*(1-$H52),"")</f>
        <v/>
      </c>
      <c r="J52" s="182" t="inlineStr">
        <is>
          <t>Tarjeta</t>
        </is>
      </c>
      <c r="K52" s="69">
        <f>IF($J52="",0,IF($J52="Contado",Inicio!$C$26,IF($J52="Tarjeta",Inicio!$C$27,IF($J52="Crédito propio",Inicio!$C$28,0))))</f>
        <v/>
      </c>
      <c r="L52" s="68">
        <f>IFERROR($F52*$I52,"")</f>
        <v/>
      </c>
      <c r="M52" s="68">
        <f>IFERROR($F52*INDEX(Productos!$G$5:$G$124,MATCH($C52,Productos!$A$5:$A$124,0)),"")</f>
        <v/>
      </c>
      <c r="N52" s="68">
        <f>IFERROR($L52*$K52,"")</f>
        <v/>
      </c>
      <c r="O52" s="68">
        <f>IFERROR($L52-$M52,"")</f>
        <v/>
      </c>
      <c r="P52" s="68">
        <f>IFERROR($O52-$N52,"")</f>
        <v/>
      </c>
      <c r="Q52" s="69">
        <f>IFERROR($P52/$L52,"")</f>
        <v/>
      </c>
    </row>
    <row r="53" ht="15" customHeight="1" s="47">
      <c r="A53" s="183" t="n">
        <v>46204</v>
      </c>
      <c r="B53" s="182" t="inlineStr">
        <is>
          <t>T03</t>
        </is>
      </c>
      <c r="C53" s="182" t="inlineStr">
        <is>
          <t>EL-025</t>
        </is>
      </c>
      <c r="D53" s="59">
        <f>IFERROR(INDEX(Productos!$B$5:$B$124,MATCH($C53,Productos!$A$5:$A$124,0)),"")</f>
        <v/>
      </c>
      <c r="E53" s="59">
        <f>IFERROR(INDEX(Productos!$D$5:$D$124,MATCH($C53,Productos!$A$5:$A$124,0)),"")</f>
        <v/>
      </c>
      <c r="F53" s="186" t="n">
        <v>1</v>
      </c>
      <c r="G53" s="68">
        <f>IFERROR(INDEX(Productos!$H$5:$H$124,MATCH($C53,Productos!$A$5:$A$124,0)),"")</f>
        <v/>
      </c>
      <c r="H53" s="185" t="n">
        <v>0.05</v>
      </c>
      <c r="I53" s="68">
        <f>IFERROR($G53*(1-$H53),"")</f>
        <v/>
      </c>
      <c r="J53" s="182" t="inlineStr">
        <is>
          <t>Crédito propio</t>
        </is>
      </c>
      <c r="K53" s="69">
        <f>IF($J53="",0,IF($J53="Contado",Inicio!$C$26,IF($J53="Tarjeta",Inicio!$C$27,IF($J53="Crédito propio",Inicio!$C$28,0))))</f>
        <v/>
      </c>
      <c r="L53" s="68">
        <f>IFERROR($F53*$I53,"")</f>
        <v/>
      </c>
      <c r="M53" s="68">
        <f>IFERROR($F53*INDEX(Productos!$G$5:$G$124,MATCH($C53,Productos!$A$5:$A$124,0)),"")</f>
        <v/>
      </c>
      <c r="N53" s="68">
        <f>IFERROR($L53*$K53,"")</f>
        <v/>
      </c>
      <c r="O53" s="68">
        <f>IFERROR($L53-$M53,"")</f>
        <v/>
      </c>
      <c r="P53" s="68">
        <f>IFERROR($O53-$N53,"")</f>
        <v/>
      </c>
      <c r="Q53" s="69">
        <f>IFERROR($P53/$L53,"")</f>
        <v/>
      </c>
    </row>
    <row r="54" ht="15" customHeight="1" s="47">
      <c r="A54" s="183" t="n">
        <v>46204</v>
      </c>
      <c r="B54" s="182" t="inlineStr">
        <is>
          <t>T03</t>
        </is>
      </c>
      <c r="C54" s="182" t="inlineStr">
        <is>
          <t>EL-026</t>
        </is>
      </c>
      <c r="D54" s="59">
        <f>IFERROR(INDEX(Productos!$B$5:$B$124,MATCH($C54,Productos!$A$5:$A$124,0)),"")</f>
        <v/>
      </c>
      <c r="E54" s="59">
        <f>IFERROR(INDEX(Productos!$D$5:$D$124,MATCH($C54,Productos!$A$5:$A$124,0)),"")</f>
        <v/>
      </c>
      <c r="F54" s="186" t="n">
        <v>1</v>
      </c>
      <c r="G54" s="68">
        <f>IFERROR(INDEX(Productos!$H$5:$H$124,MATCH($C54,Productos!$A$5:$A$124,0)),"")</f>
        <v/>
      </c>
      <c r="H54" s="185" t="n">
        <v>0.03</v>
      </c>
      <c r="I54" s="68">
        <f>IFERROR($G54*(1-$H54),"")</f>
        <v/>
      </c>
      <c r="J54" s="182" t="inlineStr">
        <is>
          <t>Contado</t>
        </is>
      </c>
      <c r="K54" s="69">
        <f>IF($J54="",0,IF($J54="Contado",Inicio!$C$26,IF($J54="Tarjeta",Inicio!$C$27,IF($J54="Crédito propio",Inicio!$C$28,0))))</f>
        <v/>
      </c>
      <c r="L54" s="68">
        <f>IFERROR($F54*$I54,"")</f>
        <v/>
      </c>
      <c r="M54" s="68">
        <f>IFERROR($F54*INDEX(Productos!$G$5:$G$124,MATCH($C54,Productos!$A$5:$A$124,0)),"")</f>
        <v/>
      </c>
      <c r="N54" s="68">
        <f>IFERROR($L54*$K54,"")</f>
        <v/>
      </c>
      <c r="O54" s="68">
        <f>IFERROR($L54-$M54,"")</f>
        <v/>
      </c>
      <c r="P54" s="68">
        <f>IFERROR($O54-$N54,"")</f>
        <v/>
      </c>
      <c r="Q54" s="69">
        <f>IFERROR($P54/$L54,"")</f>
        <v/>
      </c>
    </row>
    <row r="55" ht="15" customHeight="1" s="47">
      <c r="A55" s="183" t="n">
        <v>46204</v>
      </c>
      <c r="B55" s="182" t="inlineStr">
        <is>
          <t>T03</t>
        </is>
      </c>
      <c r="C55" s="182" t="inlineStr">
        <is>
          <t>EL-027</t>
        </is>
      </c>
      <c r="D55" s="59">
        <f>IFERROR(INDEX(Productos!$B$5:$B$124,MATCH($C55,Productos!$A$5:$A$124,0)),"")</f>
        <v/>
      </c>
      <c r="E55" s="59">
        <f>IFERROR(INDEX(Productos!$D$5:$D$124,MATCH($C55,Productos!$A$5:$A$124,0)),"")</f>
        <v/>
      </c>
      <c r="F55" s="186" t="n">
        <v>1</v>
      </c>
      <c r="G55" s="68">
        <f>IFERROR(INDEX(Productos!$H$5:$H$124,MATCH($C55,Productos!$A$5:$A$124,0)),"")</f>
        <v/>
      </c>
      <c r="H55" s="185" t="n">
        <v>0.06493506493506496</v>
      </c>
      <c r="I55" s="68">
        <f>IFERROR($G55*(1-$H55),"")</f>
        <v/>
      </c>
      <c r="J55" s="182" t="inlineStr">
        <is>
          <t>Crédito propio</t>
        </is>
      </c>
      <c r="K55" s="69">
        <f>IF($J55="",0,IF($J55="Contado",Inicio!$C$26,IF($J55="Tarjeta",Inicio!$C$27,IF($J55="Crédito propio",Inicio!$C$28,0))))</f>
        <v/>
      </c>
      <c r="L55" s="68">
        <f>IFERROR($F55*$I55,"")</f>
        <v/>
      </c>
      <c r="M55" s="68">
        <f>IFERROR($F55*INDEX(Productos!$G$5:$G$124,MATCH($C55,Productos!$A$5:$A$124,0)),"")</f>
        <v/>
      </c>
      <c r="N55" s="68">
        <f>IFERROR($L55*$K55,"")</f>
        <v/>
      </c>
      <c r="O55" s="68">
        <f>IFERROR($L55-$M55,"")</f>
        <v/>
      </c>
      <c r="P55" s="68">
        <f>IFERROR($O55-$N55,"")</f>
        <v/>
      </c>
      <c r="Q55" s="69">
        <f>IFERROR($P55/$L55,"")</f>
        <v/>
      </c>
    </row>
    <row r="56" ht="15" customHeight="1" s="47">
      <c r="A56" s="183" t="n">
        <v>46204</v>
      </c>
      <c r="B56" s="182" t="inlineStr">
        <is>
          <t>T03</t>
        </is>
      </c>
      <c r="C56" s="182" t="inlineStr">
        <is>
          <t>EL-030</t>
        </is>
      </c>
      <c r="D56" s="59">
        <f>IFERROR(INDEX(Productos!$B$5:$B$124,MATCH($C56,Productos!$A$5:$A$124,0)),"")</f>
        <v/>
      </c>
      <c r="E56" s="59">
        <f>IFERROR(INDEX(Productos!$D$5:$D$124,MATCH($C56,Productos!$A$5:$A$124,0)),"")</f>
        <v/>
      </c>
      <c r="F56" s="186" t="n">
        <v>1</v>
      </c>
      <c r="G56" s="68">
        <f>IFERROR(INDEX(Productos!$H$5:$H$124,MATCH($C56,Productos!$A$5:$A$124,0)),"")</f>
        <v/>
      </c>
      <c r="H56" s="185" t="n">
        <v>0.05</v>
      </c>
      <c r="I56" s="68">
        <f>IFERROR($G56*(1-$H56),"")</f>
        <v/>
      </c>
      <c r="J56" s="182" t="inlineStr">
        <is>
          <t>Crédito propio</t>
        </is>
      </c>
      <c r="K56" s="69">
        <f>IF($J56="",0,IF($J56="Contado",Inicio!$C$26,IF($J56="Tarjeta",Inicio!$C$27,IF($J56="Crédito propio",Inicio!$C$28,0))))</f>
        <v/>
      </c>
      <c r="L56" s="68">
        <f>IFERROR($F56*$I56,"")</f>
        <v/>
      </c>
      <c r="M56" s="68">
        <f>IFERROR($F56*INDEX(Productos!$G$5:$G$124,MATCH($C56,Productos!$A$5:$A$124,0)),"")</f>
        <v/>
      </c>
      <c r="N56" s="68">
        <f>IFERROR($L56*$K56,"")</f>
        <v/>
      </c>
      <c r="O56" s="68">
        <f>IFERROR($L56-$M56,"")</f>
        <v/>
      </c>
      <c r="P56" s="68">
        <f>IFERROR($O56-$N56,"")</f>
        <v/>
      </c>
      <c r="Q56" s="69">
        <f>IFERROR($P56/$L56,"")</f>
        <v/>
      </c>
    </row>
    <row r="57" ht="15" customHeight="1" s="47">
      <c r="A57" s="183" t="n">
        <v>46204</v>
      </c>
      <c r="B57" s="182" t="inlineStr">
        <is>
          <t>T03</t>
        </is>
      </c>
      <c r="C57" s="182" t="inlineStr">
        <is>
          <t>EL-032</t>
        </is>
      </c>
      <c r="D57" s="59">
        <f>IFERROR(INDEX(Productos!$B$5:$B$124,MATCH($C57,Productos!$A$5:$A$124,0)),"")</f>
        <v/>
      </c>
      <c r="E57" s="59">
        <f>IFERROR(INDEX(Productos!$D$5:$D$124,MATCH($C57,Productos!$A$5:$A$124,0)),"")</f>
        <v/>
      </c>
      <c r="F57" s="186" t="n">
        <v>1</v>
      </c>
      <c r="G57" s="68">
        <f>IFERROR(INDEX(Productos!$H$5:$H$124,MATCH($C57,Productos!$A$5:$A$124,0)),"")</f>
        <v/>
      </c>
      <c r="H57" s="185" t="n">
        <v>0.05</v>
      </c>
      <c r="I57" s="68">
        <f>IFERROR($G57*(1-$H57),"")</f>
        <v/>
      </c>
      <c r="J57" s="182" t="inlineStr">
        <is>
          <t>Tarjeta</t>
        </is>
      </c>
      <c r="K57" s="69">
        <f>IF($J57="",0,IF($J57="Contado",Inicio!$C$26,IF($J57="Tarjeta",Inicio!$C$27,IF($J57="Crédito propio",Inicio!$C$28,0))))</f>
        <v/>
      </c>
      <c r="L57" s="68">
        <f>IFERROR($F57*$I57,"")</f>
        <v/>
      </c>
      <c r="M57" s="68">
        <f>IFERROR($F57*INDEX(Productos!$G$5:$G$124,MATCH($C57,Productos!$A$5:$A$124,0)),"")</f>
        <v/>
      </c>
      <c r="N57" s="68">
        <f>IFERROR($L57*$K57,"")</f>
        <v/>
      </c>
      <c r="O57" s="68">
        <f>IFERROR($L57-$M57,"")</f>
        <v/>
      </c>
      <c r="P57" s="68">
        <f>IFERROR($O57-$N57,"")</f>
        <v/>
      </c>
      <c r="Q57" s="69">
        <f>IFERROR($P57/$L57,"")</f>
        <v/>
      </c>
    </row>
    <row r="58" ht="15" customHeight="1" s="47">
      <c r="A58" s="183" t="n">
        <v>46204</v>
      </c>
      <c r="B58" s="182" t="inlineStr">
        <is>
          <t>T03</t>
        </is>
      </c>
      <c r="C58" s="182" t="inlineStr">
        <is>
          <t>EL-036</t>
        </is>
      </c>
      <c r="D58" s="59">
        <f>IFERROR(INDEX(Productos!$B$5:$B$124,MATCH($C58,Productos!$A$5:$A$124,0)),"")</f>
        <v/>
      </c>
      <c r="E58" s="59">
        <f>IFERROR(INDEX(Productos!$D$5:$D$124,MATCH($C58,Productos!$A$5:$A$124,0)),"")</f>
        <v/>
      </c>
      <c r="F58" s="186" t="n">
        <v>1</v>
      </c>
      <c r="G58" s="68">
        <f>IFERROR(INDEX(Productos!$H$5:$H$124,MATCH($C58,Productos!$A$5:$A$124,0)),"")</f>
        <v/>
      </c>
      <c r="H58" s="185" t="n">
        <v>0.06349206349206349</v>
      </c>
      <c r="I58" s="68">
        <f>IFERROR($G58*(1-$H58),"")</f>
        <v/>
      </c>
      <c r="J58" s="182" t="inlineStr">
        <is>
          <t>Contado</t>
        </is>
      </c>
      <c r="K58" s="69">
        <f>IF($J58="",0,IF($J58="Contado",Inicio!$C$26,IF($J58="Tarjeta",Inicio!$C$27,IF($J58="Crédito propio",Inicio!$C$28,0))))</f>
        <v/>
      </c>
      <c r="L58" s="68">
        <f>IFERROR($F58*$I58,"")</f>
        <v/>
      </c>
      <c r="M58" s="68">
        <f>IFERROR($F58*INDEX(Productos!$G$5:$G$124,MATCH($C58,Productos!$A$5:$A$124,0)),"")</f>
        <v/>
      </c>
      <c r="N58" s="68">
        <f>IFERROR($L58*$K58,"")</f>
        <v/>
      </c>
      <c r="O58" s="68">
        <f>IFERROR($L58-$M58,"")</f>
        <v/>
      </c>
      <c r="P58" s="68">
        <f>IFERROR($O58-$N58,"")</f>
        <v/>
      </c>
      <c r="Q58" s="69">
        <f>IFERROR($P58/$L58,"")</f>
        <v/>
      </c>
    </row>
    <row r="59" ht="15" customHeight="1" s="47">
      <c r="A59" s="183" t="n">
        <v>46204</v>
      </c>
      <c r="B59" s="182" t="inlineStr">
        <is>
          <t>T03</t>
        </is>
      </c>
      <c r="C59" s="182" t="inlineStr">
        <is>
          <t>EL-041</t>
        </is>
      </c>
      <c r="D59" s="59">
        <f>IFERROR(INDEX(Productos!$B$5:$B$124,MATCH($C59,Productos!$A$5:$A$124,0)),"")</f>
        <v/>
      </c>
      <c r="E59" s="59">
        <f>IFERROR(INDEX(Productos!$D$5:$D$124,MATCH($C59,Productos!$A$5:$A$124,0)),"")</f>
        <v/>
      </c>
      <c r="F59" s="186" t="n">
        <v>1</v>
      </c>
      <c r="G59" s="68">
        <f>IFERROR(INDEX(Productos!$H$5:$H$124,MATCH($C59,Productos!$A$5:$A$124,0)),"")</f>
        <v/>
      </c>
      <c r="H59" s="185" t="n">
        <v>0.03</v>
      </c>
      <c r="I59" s="68">
        <f>IFERROR($G59*(1-$H59),"")</f>
        <v/>
      </c>
      <c r="J59" s="182" t="inlineStr">
        <is>
          <t>Contado</t>
        </is>
      </c>
      <c r="K59" s="69">
        <f>IF($J59="",0,IF($J59="Contado",Inicio!$C$26,IF($J59="Tarjeta",Inicio!$C$27,IF($J59="Crédito propio",Inicio!$C$28,0))))</f>
        <v/>
      </c>
      <c r="L59" s="68">
        <f>IFERROR($F59*$I59,"")</f>
        <v/>
      </c>
      <c r="M59" s="68">
        <f>IFERROR($F59*INDEX(Productos!$G$5:$G$124,MATCH($C59,Productos!$A$5:$A$124,0)),"")</f>
        <v/>
      </c>
      <c r="N59" s="68">
        <f>IFERROR($L59*$K59,"")</f>
        <v/>
      </c>
      <c r="O59" s="68">
        <f>IFERROR($L59-$M59,"")</f>
        <v/>
      </c>
      <c r="P59" s="68">
        <f>IFERROR($O59-$N59,"")</f>
        <v/>
      </c>
      <c r="Q59" s="69">
        <f>IFERROR($P59/$L59,"")</f>
        <v/>
      </c>
    </row>
    <row r="60" ht="15" customHeight="1" s="47">
      <c r="A60" s="183" t="n">
        <v>46204</v>
      </c>
      <c r="B60" s="182" t="inlineStr">
        <is>
          <t>T03</t>
        </is>
      </c>
      <c r="C60" s="182" t="inlineStr">
        <is>
          <t>EL-046</t>
        </is>
      </c>
      <c r="D60" s="59">
        <f>IFERROR(INDEX(Productos!$B$5:$B$124,MATCH($C60,Productos!$A$5:$A$124,0)),"")</f>
        <v/>
      </c>
      <c r="E60" s="59">
        <f>IFERROR(INDEX(Productos!$D$5:$D$124,MATCH($C60,Productos!$A$5:$A$124,0)),"")</f>
        <v/>
      </c>
      <c r="F60" s="186" t="n">
        <v>1</v>
      </c>
      <c r="G60" s="68">
        <f>IFERROR(INDEX(Productos!$H$5:$H$124,MATCH($C60,Productos!$A$5:$A$124,0)),"")</f>
        <v/>
      </c>
      <c r="H60" s="185" t="n">
        <v>0</v>
      </c>
      <c r="I60" s="68">
        <f>IFERROR($G60*(1-$H60),"")</f>
        <v/>
      </c>
      <c r="J60" s="182" t="inlineStr">
        <is>
          <t>Contado</t>
        </is>
      </c>
      <c r="K60" s="69">
        <f>IF($J60="",0,IF($J60="Contado",Inicio!$C$26,IF($J60="Tarjeta",Inicio!$C$27,IF($J60="Crédito propio",Inicio!$C$28,0))))</f>
        <v/>
      </c>
      <c r="L60" s="68">
        <f>IFERROR($F60*$I60,"")</f>
        <v/>
      </c>
      <c r="M60" s="68">
        <f>IFERROR($F60*INDEX(Productos!$G$5:$G$124,MATCH($C60,Productos!$A$5:$A$124,0)),"")</f>
        <v/>
      </c>
      <c r="N60" s="68">
        <f>IFERROR($L60*$K60,"")</f>
        <v/>
      </c>
      <c r="O60" s="68">
        <f>IFERROR($L60-$M60,"")</f>
        <v/>
      </c>
      <c r="P60" s="68">
        <f>IFERROR($O60-$N60,"")</f>
        <v/>
      </c>
      <c r="Q60" s="69">
        <f>IFERROR($P60/$L60,"")</f>
        <v/>
      </c>
    </row>
    <row r="61" ht="15" customHeight="1" s="47">
      <c r="A61" s="183" t="n">
        <v>46204</v>
      </c>
      <c r="B61" s="182" t="inlineStr">
        <is>
          <t>T04</t>
        </is>
      </c>
      <c r="C61" s="182" t="inlineStr">
        <is>
          <t>EL-002</t>
        </is>
      </c>
      <c r="D61" s="59">
        <f>IFERROR(INDEX(Productos!$B$5:$B$124,MATCH($C61,Productos!$A$5:$A$124,0)),"")</f>
        <v/>
      </c>
      <c r="E61" s="59">
        <f>IFERROR(INDEX(Productos!$D$5:$D$124,MATCH($C61,Productos!$A$5:$A$124,0)),"")</f>
        <v/>
      </c>
      <c r="F61" s="186" t="n">
        <v>1</v>
      </c>
      <c r="G61" s="68">
        <f>IFERROR(INDEX(Productos!$H$5:$H$124,MATCH($C61,Productos!$A$5:$A$124,0)),"")</f>
        <v/>
      </c>
      <c r="H61" s="185" t="n">
        <v>0.0688405797101449</v>
      </c>
      <c r="I61" s="68">
        <f>IFERROR($G61*(1-$H61),"")</f>
        <v/>
      </c>
      <c r="J61" s="182" t="inlineStr">
        <is>
          <t>Crédito propio</t>
        </is>
      </c>
      <c r="K61" s="69">
        <f>IF($J61="",0,IF($J61="Contado",Inicio!$C$26,IF($J61="Tarjeta",Inicio!$C$27,IF($J61="Crédito propio",Inicio!$C$28,0))))</f>
        <v/>
      </c>
      <c r="L61" s="68">
        <f>IFERROR($F61*$I61,"")</f>
        <v/>
      </c>
      <c r="M61" s="68">
        <f>IFERROR($F61*INDEX(Productos!$G$5:$G$124,MATCH($C61,Productos!$A$5:$A$124,0)),"")</f>
        <v/>
      </c>
      <c r="N61" s="68">
        <f>IFERROR($L61*$K61,"")</f>
        <v/>
      </c>
      <c r="O61" s="68">
        <f>IFERROR($L61-$M61,"")</f>
        <v/>
      </c>
      <c r="P61" s="68">
        <f>IFERROR($O61-$N61,"")</f>
        <v/>
      </c>
      <c r="Q61" s="69">
        <f>IFERROR($P61/$L61,"")</f>
        <v/>
      </c>
    </row>
    <row r="62" ht="15" customHeight="1" s="47">
      <c r="A62" s="183" t="n">
        <v>46204</v>
      </c>
      <c r="B62" s="182" t="inlineStr">
        <is>
          <t>T04</t>
        </is>
      </c>
      <c r="C62" s="182" t="inlineStr">
        <is>
          <t>EL-006</t>
        </is>
      </c>
      <c r="D62" s="59">
        <f>IFERROR(INDEX(Productos!$B$5:$B$124,MATCH($C62,Productos!$A$5:$A$124,0)),"")</f>
        <v/>
      </c>
      <c r="E62" s="59">
        <f>IFERROR(INDEX(Productos!$D$5:$D$124,MATCH($C62,Productos!$A$5:$A$124,0)),"")</f>
        <v/>
      </c>
      <c r="F62" s="186" t="n">
        <v>1</v>
      </c>
      <c r="G62" s="68">
        <f>IFERROR(INDEX(Productos!$H$5:$H$124,MATCH($C62,Productos!$A$5:$A$124,0)),"")</f>
        <v/>
      </c>
      <c r="H62" s="185" t="n">
        <v>0</v>
      </c>
      <c r="I62" s="68">
        <f>IFERROR($G62*(1-$H62),"")</f>
        <v/>
      </c>
      <c r="J62" s="182" t="inlineStr">
        <is>
          <t>Contado</t>
        </is>
      </c>
      <c r="K62" s="69">
        <f>IF($J62="",0,IF($J62="Contado",Inicio!$C$26,IF($J62="Tarjeta",Inicio!$C$27,IF($J62="Crédito propio",Inicio!$C$28,0))))</f>
        <v/>
      </c>
      <c r="L62" s="68">
        <f>IFERROR($F62*$I62,"")</f>
        <v/>
      </c>
      <c r="M62" s="68">
        <f>IFERROR($F62*INDEX(Productos!$G$5:$G$124,MATCH($C62,Productos!$A$5:$A$124,0)),"")</f>
        <v/>
      </c>
      <c r="N62" s="68">
        <f>IFERROR($L62*$K62,"")</f>
        <v/>
      </c>
      <c r="O62" s="68">
        <f>IFERROR($L62-$M62,"")</f>
        <v/>
      </c>
      <c r="P62" s="68">
        <f>IFERROR($O62-$N62,"")</f>
        <v/>
      </c>
      <c r="Q62" s="69">
        <f>IFERROR($P62/$L62,"")</f>
        <v/>
      </c>
    </row>
    <row r="63" ht="15" customHeight="1" s="47">
      <c r="A63" s="183" t="n">
        <v>46204</v>
      </c>
      <c r="B63" s="182" t="inlineStr">
        <is>
          <t>T04</t>
        </is>
      </c>
      <c r="C63" s="182" t="inlineStr">
        <is>
          <t>EL-024</t>
        </is>
      </c>
      <c r="D63" s="59">
        <f>IFERROR(INDEX(Productos!$B$5:$B$124,MATCH($C63,Productos!$A$5:$A$124,0)),"")</f>
        <v/>
      </c>
      <c r="E63" s="59">
        <f>IFERROR(INDEX(Productos!$D$5:$D$124,MATCH($C63,Productos!$A$5:$A$124,0)),"")</f>
        <v/>
      </c>
      <c r="F63" s="186" t="n">
        <v>1</v>
      </c>
      <c r="G63" s="68">
        <f>IFERROR(INDEX(Productos!$H$5:$H$124,MATCH($C63,Productos!$A$5:$A$124,0)),"")</f>
        <v/>
      </c>
      <c r="H63" s="185" t="n">
        <v>0.07070707070707072</v>
      </c>
      <c r="I63" s="68">
        <f>IFERROR($G63*(1-$H63),"")</f>
        <v/>
      </c>
      <c r="J63" s="182" t="inlineStr">
        <is>
          <t>Crédito propio</t>
        </is>
      </c>
      <c r="K63" s="69">
        <f>IF($J63="",0,IF($J63="Contado",Inicio!$C$26,IF($J63="Tarjeta",Inicio!$C$27,IF($J63="Crédito propio",Inicio!$C$28,0))))</f>
        <v/>
      </c>
      <c r="L63" s="68">
        <f>IFERROR($F63*$I63,"")</f>
        <v/>
      </c>
      <c r="M63" s="68">
        <f>IFERROR($F63*INDEX(Productos!$G$5:$G$124,MATCH($C63,Productos!$A$5:$A$124,0)),"")</f>
        <v/>
      </c>
      <c r="N63" s="68">
        <f>IFERROR($L63*$K63,"")</f>
        <v/>
      </c>
      <c r="O63" s="68">
        <f>IFERROR($L63-$M63,"")</f>
        <v/>
      </c>
      <c r="P63" s="68">
        <f>IFERROR($O63-$N63,"")</f>
        <v/>
      </c>
      <c r="Q63" s="69">
        <f>IFERROR($P63/$L63,"")</f>
        <v/>
      </c>
    </row>
    <row r="64" ht="15" customHeight="1" s="47">
      <c r="A64" s="183" t="n">
        <v>46204</v>
      </c>
      <c r="B64" s="182" t="inlineStr">
        <is>
          <t>T04</t>
        </is>
      </c>
      <c r="C64" s="182" t="inlineStr">
        <is>
          <t>EL-030</t>
        </is>
      </c>
      <c r="D64" s="59">
        <f>IFERROR(INDEX(Productos!$B$5:$B$124,MATCH($C64,Productos!$A$5:$A$124,0)),"")</f>
        <v/>
      </c>
      <c r="E64" s="59">
        <f>IFERROR(INDEX(Productos!$D$5:$D$124,MATCH($C64,Productos!$A$5:$A$124,0)),"")</f>
        <v/>
      </c>
      <c r="F64" s="186" t="n">
        <v>1</v>
      </c>
      <c r="G64" s="68">
        <f>IFERROR(INDEX(Productos!$H$5:$H$124,MATCH($C64,Productos!$A$5:$A$124,0)),"")</f>
        <v/>
      </c>
      <c r="H64" s="185" t="n">
        <v>0.05</v>
      </c>
      <c r="I64" s="68">
        <f>IFERROR($G64*(1-$H64),"")</f>
        <v/>
      </c>
      <c r="J64" s="182" t="inlineStr">
        <is>
          <t>Contado</t>
        </is>
      </c>
      <c r="K64" s="69">
        <f>IF($J64="",0,IF($J64="Contado",Inicio!$C$26,IF($J64="Tarjeta",Inicio!$C$27,IF($J64="Crédito propio",Inicio!$C$28,0))))</f>
        <v/>
      </c>
      <c r="L64" s="68">
        <f>IFERROR($F64*$I64,"")</f>
        <v/>
      </c>
      <c r="M64" s="68">
        <f>IFERROR($F64*INDEX(Productos!$G$5:$G$124,MATCH($C64,Productos!$A$5:$A$124,0)),"")</f>
        <v/>
      </c>
      <c r="N64" s="68">
        <f>IFERROR($L64*$K64,"")</f>
        <v/>
      </c>
      <c r="O64" s="68">
        <f>IFERROR($L64-$M64,"")</f>
        <v/>
      </c>
      <c r="P64" s="68">
        <f>IFERROR($O64-$N64,"")</f>
        <v/>
      </c>
      <c r="Q64" s="69">
        <f>IFERROR($P64/$L64,"")</f>
        <v/>
      </c>
    </row>
    <row r="65" ht="15" customHeight="1" s="47">
      <c r="A65" s="183" t="n">
        <v>46204</v>
      </c>
      <c r="B65" s="182" t="inlineStr">
        <is>
          <t>T04</t>
        </is>
      </c>
      <c r="C65" s="182" t="inlineStr">
        <is>
          <t>EL-038</t>
        </is>
      </c>
      <c r="D65" s="59">
        <f>IFERROR(INDEX(Productos!$B$5:$B$124,MATCH($C65,Productos!$A$5:$A$124,0)),"")</f>
        <v/>
      </c>
      <c r="E65" s="59">
        <f>IFERROR(INDEX(Productos!$D$5:$D$124,MATCH($C65,Productos!$A$5:$A$124,0)),"")</f>
        <v/>
      </c>
      <c r="F65" s="186" t="n">
        <v>1</v>
      </c>
      <c r="G65" s="68">
        <f>IFERROR(INDEX(Productos!$H$5:$H$124,MATCH($C65,Productos!$A$5:$A$124,0)),"")</f>
        <v/>
      </c>
      <c r="H65" s="185" t="n">
        <v>0.068</v>
      </c>
      <c r="I65" s="68">
        <f>IFERROR($G65*(1-$H65),"")</f>
        <v/>
      </c>
      <c r="J65" s="182" t="inlineStr">
        <is>
          <t>Contado</t>
        </is>
      </c>
      <c r="K65" s="69">
        <f>IF($J65="",0,IF($J65="Contado",Inicio!$C$26,IF($J65="Tarjeta",Inicio!$C$27,IF($J65="Crédito propio",Inicio!$C$28,0))))</f>
        <v/>
      </c>
      <c r="L65" s="68">
        <f>IFERROR($F65*$I65,"")</f>
        <v/>
      </c>
      <c r="M65" s="68">
        <f>IFERROR($F65*INDEX(Productos!$G$5:$G$124,MATCH($C65,Productos!$A$5:$A$124,0)),"")</f>
        <v/>
      </c>
      <c r="N65" s="68">
        <f>IFERROR($L65*$K65,"")</f>
        <v/>
      </c>
      <c r="O65" s="68">
        <f>IFERROR($L65-$M65,"")</f>
        <v/>
      </c>
      <c r="P65" s="68">
        <f>IFERROR($O65-$N65,"")</f>
        <v/>
      </c>
      <c r="Q65" s="69">
        <f>IFERROR($P65/$L65,"")</f>
        <v/>
      </c>
    </row>
    <row r="66" ht="15" customHeight="1" s="47">
      <c r="A66" s="183" t="n">
        <v>46204</v>
      </c>
      <c r="B66" s="182" t="inlineStr">
        <is>
          <t>T04</t>
        </is>
      </c>
      <c r="C66" s="182" t="inlineStr">
        <is>
          <t>EL-039</t>
        </is>
      </c>
      <c r="D66" s="59">
        <f>IFERROR(INDEX(Productos!$B$5:$B$124,MATCH($C66,Productos!$A$5:$A$124,0)),"")</f>
        <v/>
      </c>
      <c r="E66" s="59">
        <f>IFERROR(INDEX(Productos!$D$5:$D$124,MATCH($C66,Productos!$A$5:$A$124,0)),"")</f>
        <v/>
      </c>
      <c r="F66" s="186" t="n">
        <v>1</v>
      </c>
      <c r="G66" s="68">
        <f>IFERROR(INDEX(Productos!$H$5:$H$124,MATCH($C66,Productos!$A$5:$A$124,0)),"")</f>
        <v/>
      </c>
      <c r="H66" s="185" t="n">
        <v>0</v>
      </c>
      <c r="I66" s="68">
        <f>IFERROR($G66*(1-$H66),"")</f>
        <v/>
      </c>
      <c r="J66" s="182" t="inlineStr">
        <is>
          <t>Tarjeta</t>
        </is>
      </c>
      <c r="K66" s="69">
        <f>IF($J66="",0,IF($J66="Contado",Inicio!$C$26,IF($J66="Tarjeta",Inicio!$C$27,IF($J66="Crédito propio",Inicio!$C$28,0))))</f>
        <v/>
      </c>
      <c r="L66" s="68">
        <f>IFERROR($F66*$I66,"")</f>
        <v/>
      </c>
      <c r="M66" s="68">
        <f>IFERROR($F66*INDEX(Productos!$G$5:$G$124,MATCH($C66,Productos!$A$5:$A$124,0)),"")</f>
        <v/>
      </c>
      <c r="N66" s="68">
        <f>IFERROR($L66*$K66,"")</f>
        <v/>
      </c>
      <c r="O66" s="68">
        <f>IFERROR($L66-$M66,"")</f>
        <v/>
      </c>
      <c r="P66" s="68">
        <f>IFERROR($O66-$N66,"")</f>
        <v/>
      </c>
      <c r="Q66" s="69">
        <f>IFERROR($P66/$L66,"")</f>
        <v/>
      </c>
    </row>
    <row r="67" ht="15" customHeight="1" s="47">
      <c r="A67" s="183" t="n">
        <v>46204</v>
      </c>
      <c r="B67" s="182" t="inlineStr">
        <is>
          <t>T04</t>
        </is>
      </c>
      <c r="C67" s="182" t="inlineStr">
        <is>
          <t>EL-046</t>
        </is>
      </c>
      <c r="D67" s="59">
        <f>IFERROR(INDEX(Productos!$B$5:$B$124,MATCH($C67,Productos!$A$5:$A$124,0)),"")</f>
        <v/>
      </c>
      <c r="E67" s="59">
        <f>IFERROR(INDEX(Productos!$D$5:$D$124,MATCH($C67,Productos!$A$5:$A$124,0)),"")</f>
        <v/>
      </c>
      <c r="F67" s="186" t="n">
        <v>1</v>
      </c>
      <c r="G67" s="68">
        <f>IFERROR(INDEX(Productos!$H$5:$H$124,MATCH($C67,Productos!$A$5:$A$124,0)),"")</f>
        <v/>
      </c>
      <c r="H67" s="185" t="n">
        <v>0.06122448979591832</v>
      </c>
      <c r="I67" s="68">
        <f>IFERROR($G67*(1-$H67),"")</f>
        <v/>
      </c>
      <c r="J67" s="182" t="inlineStr">
        <is>
          <t>Tarjeta</t>
        </is>
      </c>
      <c r="K67" s="69">
        <f>IF($J67="",0,IF($J67="Contado",Inicio!$C$26,IF($J67="Tarjeta",Inicio!$C$27,IF($J67="Crédito propio",Inicio!$C$28,0))))</f>
        <v/>
      </c>
      <c r="L67" s="68">
        <f>IFERROR($F67*$I67,"")</f>
        <v/>
      </c>
      <c r="M67" s="68">
        <f>IFERROR($F67*INDEX(Productos!$G$5:$G$124,MATCH($C67,Productos!$A$5:$A$124,0)),"")</f>
        <v/>
      </c>
      <c r="N67" s="68">
        <f>IFERROR($L67*$K67,"")</f>
        <v/>
      </c>
      <c r="O67" s="68">
        <f>IFERROR($L67-$M67,"")</f>
        <v/>
      </c>
      <c r="P67" s="68">
        <f>IFERROR($O67-$N67,"")</f>
        <v/>
      </c>
      <c r="Q67" s="69">
        <f>IFERROR($P67/$L67,"")</f>
        <v/>
      </c>
    </row>
    <row r="68" ht="15" customHeight="1" s="47">
      <c r="A68" s="183" t="n">
        <v>46204</v>
      </c>
      <c r="B68" s="182" t="inlineStr">
        <is>
          <t>T05</t>
        </is>
      </c>
      <c r="C68" s="182" t="inlineStr">
        <is>
          <t>EL-001</t>
        </is>
      </c>
      <c r="D68" s="59">
        <f>IFERROR(INDEX(Productos!$B$5:$B$124,MATCH($C68,Productos!$A$5:$A$124,0)),"")</f>
        <v/>
      </c>
      <c r="E68" s="59">
        <f>IFERROR(INDEX(Productos!$D$5:$D$124,MATCH($C68,Productos!$A$5:$A$124,0)),"")</f>
        <v/>
      </c>
      <c r="F68" s="186" t="n">
        <v>2</v>
      </c>
      <c r="G68" s="68">
        <f>IFERROR(INDEX(Productos!$H$5:$H$124,MATCH($C68,Productos!$A$5:$A$124,0)),"")</f>
        <v/>
      </c>
      <c r="H68" s="185" t="n">
        <v>0.07177033492822971</v>
      </c>
      <c r="I68" s="68">
        <f>IFERROR($G68*(1-$H68),"")</f>
        <v/>
      </c>
      <c r="J68" s="182" t="inlineStr">
        <is>
          <t>Tarjeta</t>
        </is>
      </c>
      <c r="K68" s="69">
        <f>IF($J68="",0,IF($J68="Contado",Inicio!$C$26,IF($J68="Tarjeta",Inicio!$C$27,IF($J68="Crédito propio",Inicio!$C$28,0))))</f>
        <v/>
      </c>
      <c r="L68" s="68">
        <f>IFERROR($F68*$I68,"")</f>
        <v/>
      </c>
      <c r="M68" s="68">
        <f>IFERROR($F68*INDEX(Productos!$G$5:$G$124,MATCH($C68,Productos!$A$5:$A$124,0)),"")</f>
        <v/>
      </c>
      <c r="N68" s="68">
        <f>IFERROR($L68*$K68,"")</f>
        <v/>
      </c>
      <c r="O68" s="68">
        <f>IFERROR($L68-$M68,"")</f>
        <v/>
      </c>
      <c r="P68" s="68">
        <f>IFERROR($O68-$N68,"")</f>
        <v/>
      </c>
      <c r="Q68" s="69">
        <f>IFERROR($P68/$L68,"")</f>
        <v/>
      </c>
    </row>
    <row r="69" ht="15" customHeight="1" s="47">
      <c r="A69" s="183" t="n">
        <v>46204</v>
      </c>
      <c r="B69" s="182" t="inlineStr">
        <is>
          <t>T05</t>
        </is>
      </c>
      <c r="C69" s="182" t="inlineStr">
        <is>
          <t>EL-011</t>
        </is>
      </c>
      <c r="D69" s="59">
        <f>IFERROR(INDEX(Productos!$B$5:$B$124,MATCH($C69,Productos!$A$5:$A$124,0)),"")</f>
        <v/>
      </c>
      <c r="E69" s="59">
        <f>IFERROR(INDEX(Productos!$D$5:$D$124,MATCH($C69,Productos!$A$5:$A$124,0)),"")</f>
        <v/>
      </c>
      <c r="F69" s="186" t="n">
        <v>1</v>
      </c>
      <c r="G69" s="68">
        <f>IFERROR(INDEX(Productos!$H$5:$H$124,MATCH($C69,Productos!$A$5:$A$124,0)),"")</f>
        <v/>
      </c>
      <c r="H69" s="185" t="n">
        <v>0</v>
      </c>
      <c r="I69" s="68">
        <f>IFERROR($G69*(1-$H69),"")</f>
        <v/>
      </c>
      <c r="J69" s="182" t="inlineStr">
        <is>
          <t>Tarjeta</t>
        </is>
      </c>
      <c r="K69" s="69">
        <f>IF($J69="",0,IF($J69="Contado",Inicio!$C$26,IF($J69="Tarjeta",Inicio!$C$27,IF($J69="Crédito propio",Inicio!$C$28,0))))</f>
        <v/>
      </c>
      <c r="L69" s="68">
        <f>IFERROR($F69*$I69,"")</f>
        <v/>
      </c>
      <c r="M69" s="68">
        <f>IFERROR($F69*INDEX(Productos!$G$5:$G$124,MATCH($C69,Productos!$A$5:$A$124,0)),"")</f>
        <v/>
      </c>
      <c r="N69" s="68">
        <f>IFERROR($L69*$K69,"")</f>
        <v/>
      </c>
      <c r="O69" s="68">
        <f>IFERROR($L69-$M69,"")</f>
        <v/>
      </c>
      <c r="P69" s="68">
        <f>IFERROR($O69-$N69,"")</f>
        <v/>
      </c>
      <c r="Q69" s="69">
        <f>IFERROR($P69/$L69,"")</f>
        <v/>
      </c>
    </row>
    <row r="70" ht="15" customHeight="1" s="47">
      <c r="A70" s="183" t="n">
        <v>46204</v>
      </c>
      <c r="B70" s="182" t="inlineStr">
        <is>
          <t>T05</t>
        </is>
      </c>
      <c r="C70" s="182" t="inlineStr">
        <is>
          <t>EL-016</t>
        </is>
      </c>
      <c r="D70" s="59">
        <f>IFERROR(INDEX(Productos!$B$5:$B$124,MATCH($C70,Productos!$A$5:$A$124,0)),"")</f>
        <v/>
      </c>
      <c r="E70" s="59">
        <f>IFERROR(INDEX(Productos!$D$5:$D$124,MATCH($C70,Productos!$A$5:$A$124,0)),"")</f>
        <v/>
      </c>
      <c r="F70" s="186" t="n">
        <v>1</v>
      </c>
      <c r="G70" s="68">
        <f>IFERROR(INDEX(Productos!$H$5:$H$124,MATCH($C70,Productos!$A$5:$A$124,0)),"")</f>
        <v/>
      </c>
      <c r="H70" s="185" t="n">
        <v>0.05</v>
      </c>
      <c r="I70" s="68">
        <f>IFERROR($G70*(1-$H70),"")</f>
        <v/>
      </c>
      <c r="J70" s="182" t="inlineStr">
        <is>
          <t>Contado</t>
        </is>
      </c>
      <c r="K70" s="69">
        <f>IF($J70="",0,IF($J70="Contado",Inicio!$C$26,IF($J70="Tarjeta",Inicio!$C$27,IF($J70="Crédito propio",Inicio!$C$28,0))))</f>
        <v/>
      </c>
      <c r="L70" s="68">
        <f>IFERROR($F70*$I70,"")</f>
        <v/>
      </c>
      <c r="M70" s="68">
        <f>IFERROR($F70*INDEX(Productos!$G$5:$G$124,MATCH($C70,Productos!$A$5:$A$124,0)),"")</f>
        <v/>
      </c>
      <c r="N70" s="68">
        <f>IFERROR($L70*$K70,"")</f>
        <v/>
      </c>
      <c r="O70" s="68">
        <f>IFERROR($L70-$M70,"")</f>
        <v/>
      </c>
      <c r="P70" s="68">
        <f>IFERROR($O70-$N70,"")</f>
        <v/>
      </c>
      <c r="Q70" s="69">
        <f>IFERROR($P70/$L70,"")</f>
        <v/>
      </c>
    </row>
    <row r="71" ht="15" customHeight="1" s="47">
      <c r="A71" s="183" t="n">
        <v>46204</v>
      </c>
      <c r="B71" s="182" t="inlineStr">
        <is>
          <t>T05</t>
        </is>
      </c>
      <c r="C71" s="182" t="inlineStr">
        <is>
          <t>EL-017</t>
        </is>
      </c>
      <c r="D71" s="59">
        <f>IFERROR(INDEX(Productos!$B$5:$B$124,MATCH($C71,Productos!$A$5:$A$124,0)),"")</f>
        <v/>
      </c>
      <c r="E71" s="59">
        <f>IFERROR(INDEX(Productos!$D$5:$D$124,MATCH($C71,Productos!$A$5:$A$124,0)),"")</f>
        <v/>
      </c>
      <c r="F71" s="186" t="n">
        <v>1</v>
      </c>
      <c r="G71" s="68">
        <f>IFERROR(INDEX(Productos!$H$5:$H$124,MATCH($C71,Productos!$A$5:$A$124,0)),"")</f>
        <v/>
      </c>
      <c r="H71" s="185" t="n">
        <v>0.07182320441988954</v>
      </c>
      <c r="I71" s="68">
        <f>IFERROR($G71*(1-$H71),"")</f>
        <v/>
      </c>
      <c r="J71" s="182" t="inlineStr">
        <is>
          <t>Tarjeta</t>
        </is>
      </c>
      <c r="K71" s="69">
        <f>IF($J71="",0,IF($J71="Contado",Inicio!$C$26,IF($J71="Tarjeta",Inicio!$C$27,IF($J71="Crédito propio",Inicio!$C$28,0))))</f>
        <v/>
      </c>
      <c r="L71" s="68">
        <f>IFERROR($F71*$I71,"")</f>
        <v/>
      </c>
      <c r="M71" s="68">
        <f>IFERROR($F71*INDEX(Productos!$G$5:$G$124,MATCH($C71,Productos!$A$5:$A$124,0)),"")</f>
        <v/>
      </c>
      <c r="N71" s="68">
        <f>IFERROR($L71*$K71,"")</f>
        <v/>
      </c>
      <c r="O71" s="68">
        <f>IFERROR($L71-$M71,"")</f>
        <v/>
      </c>
      <c r="P71" s="68">
        <f>IFERROR($O71-$N71,"")</f>
        <v/>
      </c>
      <c r="Q71" s="69">
        <f>IFERROR($P71/$L71,"")</f>
        <v/>
      </c>
    </row>
    <row r="72" ht="15" customHeight="1" s="47">
      <c r="A72" s="183" t="n">
        <v>46204</v>
      </c>
      <c r="B72" s="182" t="inlineStr">
        <is>
          <t>T05</t>
        </is>
      </c>
      <c r="C72" s="182" t="inlineStr">
        <is>
          <t>EL-021</t>
        </is>
      </c>
      <c r="D72" s="59">
        <f>IFERROR(INDEX(Productos!$B$5:$B$124,MATCH($C72,Productos!$A$5:$A$124,0)),"")</f>
        <v/>
      </c>
      <c r="E72" s="59">
        <f>IFERROR(INDEX(Productos!$D$5:$D$124,MATCH($C72,Productos!$A$5:$A$124,0)),"")</f>
        <v/>
      </c>
      <c r="F72" s="186" t="n">
        <v>1</v>
      </c>
      <c r="G72" s="68">
        <f>IFERROR(INDEX(Productos!$H$5:$H$124,MATCH($C72,Productos!$A$5:$A$124,0)),"")</f>
        <v/>
      </c>
      <c r="H72" s="185" t="n">
        <v>0</v>
      </c>
      <c r="I72" s="68">
        <f>IFERROR($G72*(1-$H72),"")</f>
        <v/>
      </c>
      <c r="J72" s="182" t="inlineStr">
        <is>
          <t>Tarjeta</t>
        </is>
      </c>
      <c r="K72" s="69">
        <f>IF($J72="",0,IF($J72="Contado",Inicio!$C$26,IF($J72="Tarjeta",Inicio!$C$27,IF($J72="Crédito propio",Inicio!$C$28,0))))</f>
        <v/>
      </c>
      <c r="L72" s="68">
        <f>IFERROR($F72*$I72,"")</f>
        <v/>
      </c>
      <c r="M72" s="68">
        <f>IFERROR($F72*INDEX(Productos!$G$5:$G$124,MATCH($C72,Productos!$A$5:$A$124,0)),"")</f>
        <v/>
      </c>
      <c r="N72" s="68">
        <f>IFERROR($L72*$K72,"")</f>
        <v/>
      </c>
      <c r="O72" s="68">
        <f>IFERROR($L72-$M72,"")</f>
        <v/>
      </c>
      <c r="P72" s="68">
        <f>IFERROR($O72-$N72,"")</f>
        <v/>
      </c>
      <c r="Q72" s="69">
        <f>IFERROR($P72/$L72,"")</f>
        <v/>
      </c>
    </row>
    <row r="73" ht="15" customHeight="1" s="47">
      <c r="A73" s="183" t="n">
        <v>46204</v>
      </c>
      <c r="B73" s="182" t="inlineStr">
        <is>
          <t>T05</t>
        </is>
      </c>
      <c r="C73" s="182" t="inlineStr">
        <is>
          <t>EL-023</t>
        </is>
      </c>
      <c r="D73" s="59">
        <f>IFERROR(INDEX(Productos!$B$5:$B$124,MATCH($C73,Productos!$A$5:$A$124,0)),"")</f>
        <v/>
      </c>
      <c r="E73" s="59">
        <f>IFERROR(INDEX(Productos!$D$5:$D$124,MATCH($C73,Productos!$A$5:$A$124,0)),"")</f>
        <v/>
      </c>
      <c r="F73" s="186" t="n">
        <v>2</v>
      </c>
      <c r="G73" s="68">
        <f>IFERROR(INDEX(Productos!$H$5:$H$124,MATCH($C73,Productos!$A$5:$A$124,0)),"")</f>
        <v/>
      </c>
      <c r="H73" s="185" t="n">
        <v>0.06948640483383683</v>
      </c>
      <c r="I73" s="68">
        <f>IFERROR($G73*(1-$H73),"")</f>
        <v/>
      </c>
      <c r="J73" s="182" t="inlineStr">
        <is>
          <t>Contado</t>
        </is>
      </c>
      <c r="K73" s="69">
        <f>IF($J73="",0,IF($J73="Contado",Inicio!$C$26,IF($J73="Tarjeta",Inicio!$C$27,IF($J73="Crédito propio",Inicio!$C$28,0))))</f>
        <v/>
      </c>
      <c r="L73" s="68">
        <f>IFERROR($F73*$I73,"")</f>
        <v/>
      </c>
      <c r="M73" s="68">
        <f>IFERROR($F73*INDEX(Productos!$G$5:$G$124,MATCH($C73,Productos!$A$5:$A$124,0)),"")</f>
        <v/>
      </c>
      <c r="N73" s="68">
        <f>IFERROR($L73*$K73,"")</f>
        <v/>
      </c>
      <c r="O73" s="68">
        <f>IFERROR($L73-$M73,"")</f>
        <v/>
      </c>
      <c r="P73" s="68">
        <f>IFERROR($O73-$N73,"")</f>
        <v/>
      </c>
      <c r="Q73" s="69">
        <f>IFERROR($P73/$L73,"")</f>
        <v/>
      </c>
    </row>
    <row r="74" ht="15" customHeight="1" s="47">
      <c r="A74" s="183" t="n">
        <v>46204</v>
      </c>
      <c r="B74" s="182" t="inlineStr">
        <is>
          <t>T05</t>
        </is>
      </c>
      <c r="C74" s="182" t="inlineStr">
        <is>
          <t>EL-024</t>
        </is>
      </c>
      <c r="D74" s="59">
        <f>IFERROR(INDEX(Productos!$B$5:$B$124,MATCH($C74,Productos!$A$5:$A$124,0)),"")</f>
        <v/>
      </c>
      <c r="E74" s="59">
        <f>IFERROR(INDEX(Productos!$D$5:$D$124,MATCH($C74,Productos!$A$5:$A$124,0)),"")</f>
        <v/>
      </c>
      <c r="F74" s="186" t="n">
        <v>1</v>
      </c>
      <c r="G74" s="68">
        <f>IFERROR(INDEX(Productos!$H$5:$H$124,MATCH($C74,Productos!$A$5:$A$124,0)),"")</f>
        <v/>
      </c>
      <c r="H74" s="185" t="n">
        <v>0.07070707070707072</v>
      </c>
      <c r="I74" s="68">
        <f>IFERROR($G74*(1-$H74),"")</f>
        <v/>
      </c>
      <c r="J74" s="182" t="inlineStr">
        <is>
          <t>Contado</t>
        </is>
      </c>
      <c r="K74" s="69">
        <f>IF($J74="",0,IF($J74="Contado",Inicio!$C$26,IF($J74="Tarjeta",Inicio!$C$27,IF($J74="Crédito propio",Inicio!$C$28,0))))</f>
        <v/>
      </c>
      <c r="L74" s="68">
        <f>IFERROR($F74*$I74,"")</f>
        <v/>
      </c>
      <c r="M74" s="68">
        <f>IFERROR($F74*INDEX(Productos!$G$5:$G$124,MATCH($C74,Productos!$A$5:$A$124,0)),"")</f>
        <v/>
      </c>
      <c r="N74" s="68">
        <f>IFERROR($L74*$K74,"")</f>
        <v/>
      </c>
      <c r="O74" s="68">
        <f>IFERROR($L74-$M74,"")</f>
        <v/>
      </c>
      <c r="P74" s="68">
        <f>IFERROR($O74-$N74,"")</f>
        <v/>
      </c>
      <c r="Q74" s="69">
        <f>IFERROR($P74/$L74,"")</f>
        <v/>
      </c>
    </row>
    <row r="75" ht="15" customHeight="1" s="47">
      <c r="A75" s="183" t="n">
        <v>46204</v>
      </c>
      <c r="B75" s="182" t="inlineStr">
        <is>
          <t>T05</t>
        </is>
      </c>
      <c r="C75" s="182" t="inlineStr">
        <is>
          <t>EL-025</t>
        </is>
      </c>
      <c r="D75" s="59">
        <f>IFERROR(INDEX(Productos!$B$5:$B$124,MATCH($C75,Productos!$A$5:$A$124,0)),"")</f>
        <v/>
      </c>
      <c r="E75" s="59">
        <f>IFERROR(INDEX(Productos!$D$5:$D$124,MATCH($C75,Productos!$A$5:$A$124,0)),"")</f>
        <v/>
      </c>
      <c r="F75" s="186" t="n">
        <v>1</v>
      </c>
      <c r="G75" s="68">
        <f>IFERROR(INDEX(Productos!$H$5:$H$124,MATCH($C75,Productos!$A$5:$A$124,0)),"")</f>
        <v/>
      </c>
      <c r="H75" s="185" t="n">
        <v>0.07079646017699115</v>
      </c>
      <c r="I75" s="68">
        <f>IFERROR($G75*(1-$H75),"")</f>
        <v/>
      </c>
      <c r="J75" s="182" t="inlineStr">
        <is>
          <t>Tarjeta</t>
        </is>
      </c>
      <c r="K75" s="69">
        <f>IF($J75="",0,IF($J75="Contado",Inicio!$C$26,IF($J75="Tarjeta",Inicio!$C$27,IF($J75="Crédito propio",Inicio!$C$28,0))))</f>
        <v/>
      </c>
      <c r="L75" s="68">
        <f>IFERROR($F75*$I75,"")</f>
        <v/>
      </c>
      <c r="M75" s="68">
        <f>IFERROR($F75*INDEX(Productos!$G$5:$G$124,MATCH($C75,Productos!$A$5:$A$124,0)),"")</f>
        <v/>
      </c>
      <c r="N75" s="68">
        <f>IFERROR($L75*$K75,"")</f>
        <v/>
      </c>
      <c r="O75" s="68">
        <f>IFERROR($L75-$M75,"")</f>
        <v/>
      </c>
      <c r="P75" s="68">
        <f>IFERROR($O75-$N75,"")</f>
        <v/>
      </c>
      <c r="Q75" s="69">
        <f>IFERROR($P75/$L75,"")</f>
        <v/>
      </c>
    </row>
    <row r="76" ht="15" customHeight="1" s="47">
      <c r="A76" s="183" t="n">
        <v>46204</v>
      </c>
      <c r="B76" s="182" t="inlineStr">
        <is>
          <t>T05</t>
        </is>
      </c>
      <c r="C76" s="182" t="inlineStr">
        <is>
          <t>EL-026</t>
        </is>
      </c>
      <c r="D76" s="59">
        <f>IFERROR(INDEX(Productos!$B$5:$B$124,MATCH($C76,Productos!$A$5:$A$124,0)),"")</f>
        <v/>
      </c>
      <c r="E76" s="59">
        <f>IFERROR(INDEX(Productos!$D$5:$D$124,MATCH($C76,Productos!$A$5:$A$124,0)),"")</f>
        <v/>
      </c>
      <c r="F76" s="186" t="n">
        <v>2</v>
      </c>
      <c r="G76" s="68">
        <f>IFERROR(INDEX(Productos!$H$5:$H$124,MATCH($C76,Productos!$A$5:$A$124,0)),"")</f>
        <v/>
      </c>
      <c r="H76" s="185" t="n">
        <v>0.05</v>
      </c>
      <c r="I76" s="68">
        <f>IFERROR($G76*(1-$H76),"")</f>
        <v/>
      </c>
      <c r="J76" s="182" t="inlineStr">
        <is>
          <t>Tarjeta</t>
        </is>
      </c>
      <c r="K76" s="69">
        <f>IF($J76="",0,IF($J76="Contado",Inicio!$C$26,IF($J76="Tarjeta",Inicio!$C$27,IF($J76="Crédito propio",Inicio!$C$28,0))))</f>
        <v/>
      </c>
      <c r="L76" s="68">
        <f>IFERROR($F76*$I76,"")</f>
        <v/>
      </c>
      <c r="M76" s="68">
        <f>IFERROR($F76*INDEX(Productos!$G$5:$G$124,MATCH($C76,Productos!$A$5:$A$124,0)),"")</f>
        <v/>
      </c>
      <c r="N76" s="68">
        <f>IFERROR($L76*$K76,"")</f>
        <v/>
      </c>
      <c r="O76" s="68">
        <f>IFERROR($L76-$M76,"")</f>
        <v/>
      </c>
      <c r="P76" s="68">
        <f>IFERROR($O76-$N76,"")</f>
        <v/>
      </c>
      <c r="Q76" s="69">
        <f>IFERROR($P76/$L76,"")</f>
        <v/>
      </c>
    </row>
    <row r="77" ht="15" customHeight="1" s="47">
      <c r="A77" s="183" t="n">
        <v>46204</v>
      </c>
      <c r="B77" s="182" t="inlineStr">
        <is>
          <t>T05</t>
        </is>
      </c>
      <c r="C77" s="182" t="inlineStr">
        <is>
          <t>EL-027</t>
        </is>
      </c>
      <c r="D77" s="59">
        <f>IFERROR(INDEX(Productos!$B$5:$B$124,MATCH($C77,Productos!$A$5:$A$124,0)),"")</f>
        <v/>
      </c>
      <c r="E77" s="59">
        <f>IFERROR(INDEX(Productos!$D$5:$D$124,MATCH($C77,Productos!$A$5:$A$124,0)),"")</f>
        <v/>
      </c>
      <c r="F77" s="186" t="n">
        <v>1</v>
      </c>
      <c r="G77" s="68">
        <f>IFERROR(INDEX(Productos!$H$5:$H$124,MATCH($C77,Productos!$A$5:$A$124,0)),"")</f>
        <v/>
      </c>
      <c r="H77" s="185" t="n">
        <v>0</v>
      </c>
      <c r="I77" s="68">
        <f>IFERROR($G77*(1-$H77),"")</f>
        <v/>
      </c>
      <c r="J77" s="182" t="inlineStr">
        <is>
          <t>Tarjeta</t>
        </is>
      </c>
      <c r="K77" s="69">
        <f>IF($J77="",0,IF($J77="Contado",Inicio!$C$26,IF($J77="Tarjeta",Inicio!$C$27,IF($J77="Crédito propio",Inicio!$C$28,0))))</f>
        <v/>
      </c>
      <c r="L77" s="68">
        <f>IFERROR($F77*$I77,"")</f>
        <v/>
      </c>
      <c r="M77" s="68">
        <f>IFERROR($F77*INDEX(Productos!$G$5:$G$124,MATCH($C77,Productos!$A$5:$A$124,0)),"")</f>
        <v/>
      </c>
      <c r="N77" s="68">
        <f>IFERROR($L77*$K77,"")</f>
        <v/>
      </c>
      <c r="O77" s="68">
        <f>IFERROR($L77-$M77,"")</f>
        <v/>
      </c>
      <c r="P77" s="68">
        <f>IFERROR($O77-$N77,"")</f>
        <v/>
      </c>
      <c r="Q77" s="69">
        <f>IFERROR($P77/$L77,"")</f>
        <v/>
      </c>
    </row>
    <row r="78" ht="15" customHeight="1" s="47">
      <c r="A78" s="183" t="n">
        <v>46204</v>
      </c>
      <c r="B78" s="182" t="inlineStr">
        <is>
          <t>T05</t>
        </is>
      </c>
      <c r="C78" s="182" t="inlineStr">
        <is>
          <t>EL-028</t>
        </is>
      </c>
      <c r="D78" s="59">
        <f>IFERROR(INDEX(Productos!$B$5:$B$124,MATCH($C78,Productos!$A$5:$A$124,0)),"")</f>
        <v/>
      </c>
      <c r="E78" s="59">
        <f>IFERROR(INDEX(Productos!$D$5:$D$124,MATCH($C78,Productos!$A$5:$A$124,0)),"")</f>
        <v/>
      </c>
      <c r="F78" s="186" t="n">
        <v>1</v>
      </c>
      <c r="G78" s="68">
        <f>IFERROR(INDEX(Productos!$H$5:$H$124,MATCH($C78,Productos!$A$5:$A$124,0)),"")</f>
        <v/>
      </c>
      <c r="H78" s="185" t="n">
        <v>0</v>
      </c>
      <c r="I78" s="68">
        <f>IFERROR($G78*(1-$H78),"")</f>
        <v/>
      </c>
      <c r="J78" s="182" t="inlineStr">
        <is>
          <t>Crédito propio</t>
        </is>
      </c>
      <c r="K78" s="69">
        <f>IF($J78="",0,IF($J78="Contado",Inicio!$C$26,IF($J78="Tarjeta",Inicio!$C$27,IF($J78="Crédito propio",Inicio!$C$28,0))))</f>
        <v/>
      </c>
      <c r="L78" s="68">
        <f>IFERROR($F78*$I78,"")</f>
        <v/>
      </c>
      <c r="M78" s="68">
        <f>IFERROR($F78*INDEX(Productos!$G$5:$G$124,MATCH($C78,Productos!$A$5:$A$124,0)),"")</f>
        <v/>
      </c>
      <c r="N78" s="68">
        <f>IFERROR($L78*$K78,"")</f>
        <v/>
      </c>
      <c r="O78" s="68">
        <f>IFERROR($L78-$M78,"")</f>
        <v/>
      </c>
      <c r="P78" s="68">
        <f>IFERROR($O78-$N78,"")</f>
        <v/>
      </c>
      <c r="Q78" s="69">
        <f>IFERROR($P78/$L78,"")</f>
        <v/>
      </c>
    </row>
    <row r="79" ht="15" customHeight="1" s="47">
      <c r="A79" s="183" t="n">
        <v>46204</v>
      </c>
      <c r="B79" s="182" t="inlineStr">
        <is>
          <t>T05</t>
        </is>
      </c>
      <c r="C79" s="182" t="inlineStr">
        <is>
          <t>EL-030</t>
        </is>
      </c>
      <c r="D79" s="59">
        <f>IFERROR(INDEX(Productos!$B$5:$B$124,MATCH($C79,Productos!$A$5:$A$124,0)),"")</f>
        <v/>
      </c>
      <c r="E79" s="59">
        <f>IFERROR(INDEX(Productos!$D$5:$D$124,MATCH($C79,Productos!$A$5:$A$124,0)),"")</f>
        <v/>
      </c>
      <c r="F79" s="186" t="n">
        <v>1</v>
      </c>
      <c r="G79" s="68">
        <f>IFERROR(INDEX(Productos!$H$5:$H$124,MATCH($C79,Productos!$A$5:$A$124,0)),"")</f>
        <v/>
      </c>
      <c r="H79" s="185" t="n">
        <v>0.05</v>
      </c>
      <c r="I79" s="68">
        <f>IFERROR($G79*(1-$H79),"")</f>
        <v/>
      </c>
      <c r="J79" s="182" t="inlineStr">
        <is>
          <t>Crédito propio</t>
        </is>
      </c>
      <c r="K79" s="69">
        <f>IF($J79="",0,IF($J79="Contado",Inicio!$C$26,IF($J79="Tarjeta",Inicio!$C$27,IF($J79="Crédito propio",Inicio!$C$28,0))))</f>
        <v/>
      </c>
      <c r="L79" s="68">
        <f>IFERROR($F79*$I79,"")</f>
        <v/>
      </c>
      <c r="M79" s="68">
        <f>IFERROR($F79*INDEX(Productos!$G$5:$G$124,MATCH($C79,Productos!$A$5:$A$124,0)),"")</f>
        <v/>
      </c>
      <c r="N79" s="68">
        <f>IFERROR($L79*$K79,"")</f>
        <v/>
      </c>
      <c r="O79" s="68">
        <f>IFERROR($L79-$M79,"")</f>
        <v/>
      </c>
      <c r="P79" s="68">
        <f>IFERROR($O79-$N79,"")</f>
        <v/>
      </c>
      <c r="Q79" s="69">
        <f>IFERROR($P79/$L79,"")</f>
        <v/>
      </c>
    </row>
    <row r="80" ht="15" customHeight="1" s="47">
      <c r="A80" s="183" t="n">
        <v>46204</v>
      </c>
      <c r="B80" s="182" t="inlineStr">
        <is>
          <t>T05</t>
        </is>
      </c>
      <c r="C80" s="182" t="inlineStr">
        <is>
          <t>EL-039</t>
        </is>
      </c>
      <c r="D80" s="59">
        <f>IFERROR(INDEX(Productos!$B$5:$B$124,MATCH($C80,Productos!$A$5:$A$124,0)),"")</f>
        <v/>
      </c>
      <c r="E80" s="59">
        <f>IFERROR(INDEX(Productos!$D$5:$D$124,MATCH($C80,Productos!$A$5:$A$124,0)),"")</f>
        <v/>
      </c>
      <c r="F80" s="186" t="n">
        <v>1</v>
      </c>
      <c r="G80" s="68">
        <f>IFERROR(INDEX(Productos!$H$5:$H$124,MATCH($C80,Productos!$A$5:$A$124,0)),"")</f>
        <v/>
      </c>
      <c r="H80" s="185" t="n">
        <v>0.069620253164557</v>
      </c>
      <c r="I80" s="68">
        <f>IFERROR($G80*(1-$H80),"")</f>
        <v/>
      </c>
      <c r="J80" s="182" t="inlineStr">
        <is>
          <t>Tarjeta</t>
        </is>
      </c>
      <c r="K80" s="69">
        <f>IF($J80="",0,IF($J80="Contado",Inicio!$C$26,IF($J80="Tarjeta",Inicio!$C$27,IF($J80="Crédito propio",Inicio!$C$28,0))))</f>
        <v/>
      </c>
      <c r="L80" s="68">
        <f>IFERROR($F80*$I80,"")</f>
        <v/>
      </c>
      <c r="M80" s="68">
        <f>IFERROR($F80*INDEX(Productos!$G$5:$G$124,MATCH($C80,Productos!$A$5:$A$124,0)),"")</f>
        <v/>
      </c>
      <c r="N80" s="68">
        <f>IFERROR($L80*$K80,"")</f>
        <v/>
      </c>
      <c r="O80" s="68">
        <f>IFERROR($L80-$M80,"")</f>
        <v/>
      </c>
      <c r="P80" s="68">
        <f>IFERROR($O80-$N80,"")</f>
        <v/>
      </c>
      <c r="Q80" s="69">
        <f>IFERROR($P80/$L80,"")</f>
        <v/>
      </c>
    </row>
    <row r="81" ht="15" customHeight="1" s="47">
      <c r="A81" s="183" t="n">
        <v>46204</v>
      </c>
      <c r="B81" s="182" t="inlineStr">
        <is>
          <t>T05</t>
        </is>
      </c>
      <c r="C81" s="182" t="inlineStr">
        <is>
          <t>EL-043</t>
        </is>
      </c>
      <c r="D81" s="59">
        <f>IFERROR(INDEX(Productos!$B$5:$B$124,MATCH($C81,Productos!$A$5:$A$124,0)),"")</f>
        <v/>
      </c>
      <c r="E81" s="59">
        <f>IFERROR(INDEX(Productos!$D$5:$D$124,MATCH($C81,Productos!$A$5:$A$124,0)),"")</f>
        <v/>
      </c>
      <c r="F81" s="186" t="n">
        <v>1</v>
      </c>
      <c r="G81" s="68">
        <f>IFERROR(INDEX(Productos!$H$5:$H$124,MATCH($C81,Productos!$A$5:$A$124,0)),"")</f>
        <v/>
      </c>
      <c r="H81" s="185" t="n">
        <v>0</v>
      </c>
      <c r="I81" s="68">
        <f>IFERROR($G81*(1-$H81),"")</f>
        <v/>
      </c>
      <c r="J81" s="182" t="inlineStr">
        <is>
          <t>Tarjeta</t>
        </is>
      </c>
      <c r="K81" s="69">
        <f>IF($J81="",0,IF($J81="Contado",Inicio!$C$26,IF($J81="Tarjeta",Inicio!$C$27,IF($J81="Crédito propio",Inicio!$C$28,0))))</f>
        <v/>
      </c>
      <c r="L81" s="68">
        <f>IFERROR($F81*$I81,"")</f>
        <v/>
      </c>
      <c r="M81" s="68">
        <f>IFERROR($F81*INDEX(Productos!$G$5:$G$124,MATCH($C81,Productos!$A$5:$A$124,0)),"")</f>
        <v/>
      </c>
      <c r="N81" s="68">
        <f>IFERROR($L81*$K81,"")</f>
        <v/>
      </c>
      <c r="O81" s="68">
        <f>IFERROR($L81-$M81,"")</f>
        <v/>
      </c>
      <c r="P81" s="68">
        <f>IFERROR($O81-$N81,"")</f>
        <v/>
      </c>
      <c r="Q81" s="69">
        <f>IFERROR($P81/$L81,"")</f>
        <v/>
      </c>
    </row>
    <row r="82" ht="15" customHeight="1" s="47">
      <c r="A82" s="183" t="n">
        <v>46204</v>
      </c>
      <c r="B82" s="182" t="inlineStr">
        <is>
          <t>T05</t>
        </is>
      </c>
      <c r="C82" s="182" t="inlineStr">
        <is>
          <t>EL-044</t>
        </is>
      </c>
      <c r="D82" s="59">
        <f>IFERROR(INDEX(Productos!$B$5:$B$124,MATCH($C82,Productos!$A$5:$A$124,0)),"")</f>
        <v/>
      </c>
      <c r="E82" s="59">
        <f>IFERROR(INDEX(Productos!$D$5:$D$124,MATCH($C82,Productos!$A$5:$A$124,0)),"")</f>
        <v/>
      </c>
      <c r="F82" s="186" t="n">
        <v>1</v>
      </c>
      <c r="G82" s="68">
        <f>IFERROR(INDEX(Productos!$H$5:$H$124,MATCH($C82,Productos!$A$5:$A$124,0)),"")</f>
        <v/>
      </c>
      <c r="H82" s="185" t="n">
        <v>0.06870229007633588</v>
      </c>
      <c r="I82" s="68">
        <f>IFERROR($G82*(1-$H82),"")</f>
        <v/>
      </c>
      <c r="J82" s="182" t="inlineStr">
        <is>
          <t>Contado</t>
        </is>
      </c>
      <c r="K82" s="69">
        <f>IF($J82="",0,IF($J82="Contado",Inicio!$C$26,IF($J82="Tarjeta",Inicio!$C$27,IF($J82="Crédito propio",Inicio!$C$28,0))))</f>
        <v/>
      </c>
      <c r="L82" s="68">
        <f>IFERROR($F82*$I82,"")</f>
        <v/>
      </c>
      <c r="M82" s="68">
        <f>IFERROR($F82*INDEX(Productos!$G$5:$G$124,MATCH($C82,Productos!$A$5:$A$124,0)),"")</f>
        <v/>
      </c>
      <c r="N82" s="68">
        <f>IFERROR($L82*$K82,"")</f>
        <v/>
      </c>
      <c r="O82" s="68">
        <f>IFERROR($L82-$M82,"")</f>
        <v/>
      </c>
      <c r="P82" s="68">
        <f>IFERROR($O82-$N82,"")</f>
        <v/>
      </c>
      <c r="Q82" s="69">
        <f>IFERROR($P82/$L82,"")</f>
        <v/>
      </c>
    </row>
    <row r="83" ht="15" customHeight="1" s="47">
      <c r="A83" s="183" t="n">
        <v>46204</v>
      </c>
      <c r="B83" s="182" t="inlineStr">
        <is>
          <t>T05</t>
        </is>
      </c>
      <c r="C83" s="182" t="inlineStr">
        <is>
          <t>EL-046</t>
        </is>
      </c>
      <c r="D83" s="59">
        <f>IFERROR(INDEX(Productos!$B$5:$B$124,MATCH($C83,Productos!$A$5:$A$124,0)),"")</f>
        <v/>
      </c>
      <c r="E83" s="59">
        <f>IFERROR(INDEX(Productos!$D$5:$D$124,MATCH($C83,Productos!$A$5:$A$124,0)),"")</f>
        <v/>
      </c>
      <c r="F83" s="186" t="n">
        <v>1</v>
      </c>
      <c r="G83" s="68">
        <f>IFERROR(INDEX(Productos!$H$5:$H$124,MATCH($C83,Productos!$A$5:$A$124,0)),"")</f>
        <v/>
      </c>
      <c r="H83" s="185" t="n">
        <v>0</v>
      </c>
      <c r="I83" s="68">
        <f>IFERROR($G83*(1-$H83),"")</f>
        <v/>
      </c>
      <c r="J83" s="182" t="inlineStr">
        <is>
          <t>Tarjeta</t>
        </is>
      </c>
      <c r="K83" s="69">
        <f>IF($J83="",0,IF($J83="Contado",Inicio!$C$26,IF($J83="Tarjeta",Inicio!$C$27,IF($J83="Crédito propio",Inicio!$C$28,0))))</f>
        <v/>
      </c>
      <c r="L83" s="68">
        <f>IFERROR($F83*$I83,"")</f>
        <v/>
      </c>
      <c r="M83" s="68">
        <f>IFERROR($F83*INDEX(Productos!$G$5:$G$124,MATCH($C83,Productos!$A$5:$A$124,0)),"")</f>
        <v/>
      </c>
      <c r="N83" s="68">
        <f>IFERROR($L83*$K83,"")</f>
        <v/>
      </c>
      <c r="O83" s="68">
        <f>IFERROR($L83-$M83,"")</f>
        <v/>
      </c>
      <c r="P83" s="68">
        <f>IFERROR($O83-$N83,"")</f>
        <v/>
      </c>
      <c r="Q83" s="69">
        <f>IFERROR($P83/$L83,"")</f>
        <v/>
      </c>
    </row>
    <row r="84" ht="15" customHeight="1" s="47">
      <c r="A84" s="183" t="n">
        <v>46204</v>
      </c>
      <c r="B84" s="182" t="inlineStr">
        <is>
          <t>T05</t>
        </is>
      </c>
      <c r="C84" s="182" t="inlineStr">
        <is>
          <t>EL-048</t>
        </is>
      </c>
      <c r="D84" s="59">
        <f>IFERROR(INDEX(Productos!$B$5:$B$124,MATCH($C84,Productos!$A$5:$A$124,0)),"")</f>
        <v/>
      </c>
      <c r="E84" s="59">
        <f>IFERROR(INDEX(Productos!$D$5:$D$124,MATCH($C84,Productos!$A$5:$A$124,0)),"")</f>
        <v/>
      </c>
      <c r="F84" s="186" t="n">
        <v>1</v>
      </c>
      <c r="G84" s="68">
        <f>IFERROR(INDEX(Productos!$H$5:$H$124,MATCH($C84,Productos!$A$5:$A$124,0)),"")</f>
        <v/>
      </c>
      <c r="H84" s="185" t="n">
        <v>0.05</v>
      </c>
      <c r="I84" s="68">
        <f>IFERROR($G84*(1-$H84),"")</f>
        <v/>
      </c>
      <c r="J84" s="182" t="inlineStr">
        <is>
          <t>Tarjeta</t>
        </is>
      </c>
      <c r="K84" s="69">
        <f>IF($J84="",0,IF($J84="Contado",Inicio!$C$26,IF($J84="Tarjeta",Inicio!$C$27,IF($J84="Crédito propio",Inicio!$C$28,0))))</f>
        <v/>
      </c>
      <c r="L84" s="68">
        <f>IFERROR($F84*$I84,"")</f>
        <v/>
      </c>
      <c r="M84" s="68">
        <f>IFERROR($F84*INDEX(Productos!$G$5:$G$124,MATCH($C84,Productos!$A$5:$A$124,0)),"")</f>
        <v/>
      </c>
      <c r="N84" s="68">
        <f>IFERROR($L84*$K84,"")</f>
        <v/>
      </c>
      <c r="O84" s="68">
        <f>IFERROR($L84-$M84,"")</f>
        <v/>
      </c>
      <c r="P84" s="68">
        <f>IFERROR($O84-$N84,"")</f>
        <v/>
      </c>
      <c r="Q84" s="69">
        <f>IFERROR($P84/$L84,"")</f>
        <v/>
      </c>
    </row>
    <row r="85" ht="15" customHeight="1" s="47">
      <c r="A85" s="183" t="n">
        <v>46204</v>
      </c>
      <c r="B85" s="182" t="inlineStr">
        <is>
          <t>T05</t>
        </is>
      </c>
      <c r="C85" s="182" t="inlineStr">
        <is>
          <t>EL-049</t>
        </is>
      </c>
      <c r="D85" s="59">
        <f>IFERROR(INDEX(Productos!$B$5:$B$124,MATCH($C85,Productos!$A$5:$A$124,0)),"")</f>
        <v/>
      </c>
      <c r="E85" s="59">
        <f>IFERROR(INDEX(Productos!$D$5:$D$124,MATCH($C85,Productos!$A$5:$A$124,0)),"")</f>
        <v/>
      </c>
      <c r="F85" s="186" t="n">
        <v>1</v>
      </c>
      <c r="G85" s="68">
        <f>IFERROR(INDEX(Productos!$H$5:$H$124,MATCH($C85,Productos!$A$5:$A$124,0)),"")</f>
        <v/>
      </c>
      <c r="H85" s="185" t="n">
        <v>0.07185628742514971</v>
      </c>
      <c r="I85" s="68">
        <f>IFERROR($G85*(1-$H85),"")</f>
        <v/>
      </c>
      <c r="J85" s="182" t="inlineStr">
        <is>
          <t>Tarjeta</t>
        </is>
      </c>
      <c r="K85" s="69">
        <f>IF($J85="",0,IF($J85="Contado",Inicio!$C$26,IF($J85="Tarjeta",Inicio!$C$27,IF($J85="Crédito propio",Inicio!$C$28,0))))</f>
        <v/>
      </c>
      <c r="L85" s="68">
        <f>IFERROR($F85*$I85,"")</f>
        <v/>
      </c>
      <c r="M85" s="68">
        <f>IFERROR($F85*INDEX(Productos!$G$5:$G$124,MATCH($C85,Productos!$A$5:$A$124,0)),"")</f>
        <v/>
      </c>
      <c r="N85" s="68">
        <f>IFERROR($L85*$K85,"")</f>
        <v/>
      </c>
      <c r="O85" s="68">
        <f>IFERROR($L85-$M85,"")</f>
        <v/>
      </c>
      <c r="P85" s="68">
        <f>IFERROR($O85-$N85,"")</f>
        <v/>
      </c>
      <c r="Q85" s="69">
        <f>IFERROR($P85/$L85,"")</f>
        <v/>
      </c>
    </row>
    <row r="86" ht="15" customHeight="1" s="47">
      <c r="A86" s="183" t="n">
        <v>46204</v>
      </c>
      <c r="B86" s="182" t="inlineStr">
        <is>
          <t>T05</t>
        </is>
      </c>
      <c r="C86" s="182" t="inlineStr">
        <is>
          <t>EL-050</t>
        </is>
      </c>
      <c r="D86" s="59">
        <f>IFERROR(INDEX(Productos!$B$5:$B$124,MATCH($C86,Productos!$A$5:$A$124,0)),"")</f>
        <v/>
      </c>
      <c r="E86" s="59">
        <f>IFERROR(INDEX(Productos!$D$5:$D$124,MATCH($C86,Productos!$A$5:$A$124,0)),"")</f>
        <v/>
      </c>
      <c r="F86" s="186" t="n">
        <v>1</v>
      </c>
      <c r="G86" s="68">
        <f>IFERROR(INDEX(Productos!$H$5:$H$124,MATCH($C86,Productos!$A$5:$A$124,0)),"")</f>
        <v/>
      </c>
      <c r="H86" s="185" t="n">
        <v>0.05</v>
      </c>
      <c r="I86" s="68">
        <f>IFERROR($G86*(1-$H86),"")</f>
        <v/>
      </c>
      <c r="J86" s="182" t="inlineStr">
        <is>
          <t>Contado</t>
        </is>
      </c>
      <c r="K86" s="69">
        <f>IF($J86="",0,IF($J86="Contado",Inicio!$C$26,IF($J86="Tarjeta",Inicio!$C$27,IF($J86="Crédito propio",Inicio!$C$28,0))))</f>
        <v/>
      </c>
      <c r="L86" s="68">
        <f>IFERROR($F86*$I86,"")</f>
        <v/>
      </c>
      <c r="M86" s="68">
        <f>IFERROR($F86*INDEX(Productos!$G$5:$G$124,MATCH($C86,Productos!$A$5:$A$124,0)),"")</f>
        <v/>
      </c>
      <c r="N86" s="68">
        <f>IFERROR($L86*$K86,"")</f>
        <v/>
      </c>
      <c r="O86" s="68">
        <f>IFERROR($L86-$M86,"")</f>
        <v/>
      </c>
      <c r="P86" s="68">
        <f>IFERROR($O86-$N86,"")</f>
        <v/>
      </c>
      <c r="Q86" s="69">
        <f>IFERROR($P86/$L86,"")</f>
        <v/>
      </c>
    </row>
    <row r="87" ht="15" customHeight="1" s="47">
      <c r="A87" s="183" t="n">
        <v>46204</v>
      </c>
      <c r="B87" s="182" t="inlineStr">
        <is>
          <t>T06</t>
        </is>
      </c>
      <c r="C87" s="182" t="inlineStr">
        <is>
          <t>EL-001</t>
        </is>
      </c>
      <c r="D87" s="59">
        <f>IFERROR(INDEX(Productos!$B$5:$B$124,MATCH($C87,Productos!$A$5:$A$124,0)),"")</f>
        <v/>
      </c>
      <c r="E87" s="59">
        <f>IFERROR(INDEX(Productos!$D$5:$D$124,MATCH($C87,Productos!$A$5:$A$124,0)),"")</f>
        <v/>
      </c>
      <c r="F87" s="186" t="n">
        <v>1</v>
      </c>
      <c r="G87" s="68">
        <f>IFERROR(INDEX(Productos!$H$5:$H$124,MATCH($C87,Productos!$A$5:$A$124,0)),"")</f>
        <v/>
      </c>
      <c r="H87" s="185" t="n">
        <v>0.07177033492822971</v>
      </c>
      <c r="I87" s="68">
        <f>IFERROR($G87*(1-$H87),"")</f>
        <v/>
      </c>
      <c r="J87" s="182" t="inlineStr">
        <is>
          <t>Crédito propio</t>
        </is>
      </c>
      <c r="K87" s="69">
        <f>IF($J87="",0,IF($J87="Contado",Inicio!$C$26,IF($J87="Tarjeta",Inicio!$C$27,IF($J87="Crédito propio",Inicio!$C$28,0))))</f>
        <v/>
      </c>
      <c r="L87" s="68">
        <f>IFERROR($F87*$I87,"")</f>
        <v/>
      </c>
      <c r="M87" s="68">
        <f>IFERROR($F87*INDEX(Productos!$G$5:$G$124,MATCH($C87,Productos!$A$5:$A$124,0)),"")</f>
        <v/>
      </c>
      <c r="N87" s="68">
        <f>IFERROR($L87*$K87,"")</f>
        <v/>
      </c>
      <c r="O87" s="68">
        <f>IFERROR($L87-$M87,"")</f>
        <v/>
      </c>
      <c r="P87" s="68">
        <f>IFERROR($O87-$N87,"")</f>
        <v/>
      </c>
      <c r="Q87" s="69">
        <f>IFERROR($P87/$L87,"")</f>
        <v/>
      </c>
    </row>
    <row r="88" ht="15" customHeight="1" s="47">
      <c r="A88" s="183" t="n">
        <v>46204</v>
      </c>
      <c r="B88" s="182" t="inlineStr">
        <is>
          <t>T06</t>
        </is>
      </c>
      <c r="C88" s="182" t="inlineStr">
        <is>
          <t>EL-006</t>
        </is>
      </c>
      <c r="D88" s="59">
        <f>IFERROR(INDEX(Productos!$B$5:$B$124,MATCH($C88,Productos!$A$5:$A$124,0)),"")</f>
        <v/>
      </c>
      <c r="E88" s="59">
        <f>IFERROR(INDEX(Productos!$D$5:$D$124,MATCH($C88,Productos!$A$5:$A$124,0)),"")</f>
        <v/>
      </c>
      <c r="F88" s="186" t="n">
        <v>1</v>
      </c>
      <c r="G88" s="68">
        <f>IFERROR(INDEX(Productos!$H$5:$H$124,MATCH($C88,Productos!$A$5:$A$124,0)),"")</f>
        <v/>
      </c>
      <c r="H88" s="185" t="n">
        <v>0.07000000000000001</v>
      </c>
      <c r="I88" s="68">
        <f>IFERROR($G88*(1-$H88),"")</f>
        <v/>
      </c>
      <c r="J88" s="182" t="inlineStr">
        <is>
          <t>Contado</t>
        </is>
      </c>
      <c r="K88" s="69">
        <f>IF($J88="",0,IF($J88="Contado",Inicio!$C$26,IF($J88="Tarjeta",Inicio!$C$27,IF($J88="Crédito propio",Inicio!$C$28,0))))</f>
        <v/>
      </c>
      <c r="L88" s="68">
        <f>IFERROR($F88*$I88,"")</f>
        <v/>
      </c>
      <c r="M88" s="68">
        <f>IFERROR($F88*INDEX(Productos!$G$5:$G$124,MATCH($C88,Productos!$A$5:$A$124,0)),"")</f>
        <v/>
      </c>
      <c r="N88" s="68">
        <f>IFERROR($L88*$K88,"")</f>
        <v/>
      </c>
      <c r="O88" s="68">
        <f>IFERROR($L88-$M88,"")</f>
        <v/>
      </c>
      <c r="P88" s="68">
        <f>IFERROR($O88-$N88,"")</f>
        <v/>
      </c>
      <c r="Q88" s="69">
        <f>IFERROR($P88/$L88,"")</f>
        <v/>
      </c>
    </row>
    <row r="89" ht="15" customHeight="1" s="47">
      <c r="A89" s="183" t="n">
        <v>46204</v>
      </c>
      <c r="B89" s="182" t="inlineStr">
        <is>
          <t>T06</t>
        </is>
      </c>
      <c r="C89" s="182" t="inlineStr">
        <is>
          <t>EL-012</t>
        </is>
      </c>
      <c r="D89" s="59">
        <f>IFERROR(INDEX(Productos!$B$5:$B$124,MATCH($C89,Productos!$A$5:$A$124,0)),"")</f>
        <v/>
      </c>
      <c r="E89" s="59">
        <f>IFERROR(INDEX(Productos!$D$5:$D$124,MATCH($C89,Productos!$A$5:$A$124,0)),"")</f>
        <v/>
      </c>
      <c r="F89" s="186" t="n">
        <v>1</v>
      </c>
      <c r="G89" s="68">
        <f>IFERROR(INDEX(Productos!$H$5:$H$124,MATCH($C89,Productos!$A$5:$A$124,0)),"")</f>
        <v/>
      </c>
      <c r="H89" s="185" t="n">
        <v>0</v>
      </c>
      <c r="I89" s="68">
        <f>IFERROR($G89*(1-$H89),"")</f>
        <v/>
      </c>
      <c r="J89" s="182" t="inlineStr">
        <is>
          <t>Tarjeta</t>
        </is>
      </c>
      <c r="K89" s="69">
        <f>IF($J89="",0,IF($J89="Contado",Inicio!$C$26,IF($J89="Tarjeta",Inicio!$C$27,IF($J89="Crédito propio",Inicio!$C$28,0))))</f>
        <v/>
      </c>
      <c r="L89" s="68">
        <f>IFERROR($F89*$I89,"")</f>
        <v/>
      </c>
      <c r="M89" s="68">
        <f>IFERROR($F89*INDEX(Productos!$G$5:$G$124,MATCH($C89,Productos!$A$5:$A$124,0)),"")</f>
        <v/>
      </c>
      <c r="N89" s="68">
        <f>IFERROR($L89*$K89,"")</f>
        <v/>
      </c>
      <c r="O89" s="68">
        <f>IFERROR($L89-$M89,"")</f>
        <v/>
      </c>
      <c r="P89" s="68">
        <f>IFERROR($O89-$N89,"")</f>
        <v/>
      </c>
      <c r="Q89" s="69">
        <f>IFERROR($P89/$L89,"")</f>
        <v/>
      </c>
    </row>
    <row r="90" ht="15" customHeight="1" s="47">
      <c r="A90" s="183" t="n">
        <v>46204</v>
      </c>
      <c r="B90" s="182" t="inlineStr">
        <is>
          <t>T06</t>
        </is>
      </c>
      <c r="C90" s="182" t="inlineStr">
        <is>
          <t>EL-025</t>
        </is>
      </c>
      <c r="D90" s="59">
        <f>IFERROR(INDEX(Productos!$B$5:$B$124,MATCH($C90,Productos!$A$5:$A$124,0)),"")</f>
        <v/>
      </c>
      <c r="E90" s="59">
        <f>IFERROR(INDEX(Productos!$D$5:$D$124,MATCH($C90,Productos!$A$5:$A$124,0)),"")</f>
        <v/>
      </c>
      <c r="F90" s="186" t="n">
        <v>1</v>
      </c>
      <c r="G90" s="68">
        <f>IFERROR(INDEX(Productos!$H$5:$H$124,MATCH($C90,Productos!$A$5:$A$124,0)),"")</f>
        <v/>
      </c>
      <c r="H90" s="185" t="n">
        <v>0.05</v>
      </c>
      <c r="I90" s="68">
        <f>IFERROR($G90*(1-$H90),"")</f>
        <v/>
      </c>
      <c r="J90" s="182" t="inlineStr">
        <is>
          <t>Crédito propio</t>
        </is>
      </c>
      <c r="K90" s="69">
        <f>IF($J90="",0,IF($J90="Contado",Inicio!$C$26,IF($J90="Tarjeta",Inicio!$C$27,IF($J90="Crédito propio",Inicio!$C$28,0))))</f>
        <v/>
      </c>
      <c r="L90" s="68">
        <f>IFERROR($F90*$I90,"")</f>
        <v/>
      </c>
      <c r="M90" s="68">
        <f>IFERROR($F90*INDEX(Productos!$G$5:$G$124,MATCH($C90,Productos!$A$5:$A$124,0)),"")</f>
        <v/>
      </c>
      <c r="N90" s="68">
        <f>IFERROR($L90*$K90,"")</f>
        <v/>
      </c>
      <c r="O90" s="68">
        <f>IFERROR($L90-$M90,"")</f>
        <v/>
      </c>
      <c r="P90" s="68">
        <f>IFERROR($O90-$N90,"")</f>
        <v/>
      </c>
      <c r="Q90" s="69">
        <f>IFERROR($P90/$L90,"")</f>
        <v/>
      </c>
    </row>
    <row r="91" ht="15" customHeight="1" s="47">
      <c r="A91" s="183" t="n">
        <v>46204</v>
      </c>
      <c r="B91" s="182" t="inlineStr">
        <is>
          <t>T06</t>
        </is>
      </c>
      <c r="C91" s="182" t="inlineStr">
        <is>
          <t>EL-027</t>
        </is>
      </c>
      <c r="D91" s="59">
        <f>IFERROR(INDEX(Productos!$B$5:$B$124,MATCH($C91,Productos!$A$5:$A$124,0)),"")</f>
        <v/>
      </c>
      <c r="E91" s="59">
        <f>IFERROR(INDEX(Productos!$D$5:$D$124,MATCH($C91,Productos!$A$5:$A$124,0)),"")</f>
        <v/>
      </c>
      <c r="F91" s="186" t="n">
        <v>1</v>
      </c>
      <c r="G91" s="68">
        <f>IFERROR(INDEX(Productos!$H$5:$H$124,MATCH($C91,Productos!$A$5:$A$124,0)),"")</f>
        <v/>
      </c>
      <c r="H91" s="185" t="n">
        <v>0.06493506493506496</v>
      </c>
      <c r="I91" s="68">
        <f>IFERROR($G91*(1-$H91),"")</f>
        <v/>
      </c>
      <c r="J91" s="182" t="inlineStr">
        <is>
          <t>Tarjeta</t>
        </is>
      </c>
      <c r="K91" s="69">
        <f>IF($J91="",0,IF($J91="Contado",Inicio!$C$26,IF($J91="Tarjeta",Inicio!$C$27,IF($J91="Crédito propio",Inicio!$C$28,0))))</f>
        <v/>
      </c>
      <c r="L91" s="68">
        <f>IFERROR($F91*$I91,"")</f>
        <v/>
      </c>
      <c r="M91" s="68">
        <f>IFERROR($F91*INDEX(Productos!$G$5:$G$124,MATCH($C91,Productos!$A$5:$A$124,0)),"")</f>
        <v/>
      </c>
      <c r="N91" s="68">
        <f>IFERROR($L91*$K91,"")</f>
        <v/>
      </c>
      <c r="O91" s="68">
        <f>IFERROR($L91-$M91,"")</f>
        <v/>
      </c>
      <c r="P91" s="68">
        <f>IFERROR($O91-$N91,"")</f>
        <v/>
      </c>
      <c r="Q91" s="69">
        <f>IFERROR($P91/$L91,"")</f>
        <v/>
      </c>
    </row>
    <row r="92" ht="15" customHeight="1" s="47">
      <c r="A92" s="183" t="n">
        <v>46204</v>
      </c>
      <c r="B92" s="182" t="inlineStr">
        <is>
          <t>T06</t>
        </is>
      </c>
      <c r="C92" s="182" t="inlineStr">
        <is>
          <t>EL-044</t>
        </is>
      </c>
      <c r="D92" s="59">
        <f>IFERROR(INDEX(Productos!$B$5:$B$124,MATCH($C92,Productos!$A$5:$A$124,0)),"")</f>
        <v/>
      </c>
      <c r="E92" s="59">
        <f>IFERROR(INDEX(Productos!$D$5:$D$124,MATCH($C92,Productos!$A$5:$A$124,0)),"")</f>
        <v/>
      </c>
      <c r="F92" s="186" t="n">
        <v>1</v>
      </c>
      <c r="G92" s="68">
        <f>IFERROR(INDEX(Productos!$H$5:$H$124,MATCH($C92,Productos!$A$5:$A$124,0)),"")</f>
        <v/>
      </c>
      <c r="H92" s="185" t="n">
        <v>0.06870229007633588</v>
      </c>
      <c r="I92" s="68">
        <f>IFERROR($G92*(1-$H92),"")</f>
        <v/>
      </c>
      <c r="J92" s="182" t="inlineStr">
        <is>
          <t>Tarjeta</t>
        </is>
      </c>
      <c r="K92" s="69">
        <f>IF($J92="",0,IF($J92="Contado",Inicio!$C$26,IF($J92="Tarjeta",Inicio!$C$27,IF($J92="Crédito propio",Inicio!$C$28,0))))</f>
        <v/>
      </c>
      <c r="L92" s="68">
        <f>IFERROR($F92*$I92,"")</f>
        <v/>
      </c>
      <c r="M92" s="68">
        <f>IFERROR($F92*INDEX(Productos!$G$5:$G$124,MATCH($C92,Productos!$A$5:$A$124,0)),"")</f>
        <v/>
      </c>
      <c r="N92" s="68">
        <f>IFERROR($L92*$K92,"")</f>
        <v/>
      </c>
      <c r="O92" s="68">
        <f>IFERROR($L92-$M92,"")</f>
        <v/>
      </c>
      <c r="P92" s="68">
        <f>IFERROR($O92-$N92,"")</f>
        <v/>
      </c>
      <c r="Q92" s="69">
        <f>IFERROR($P92/$L92,"")</f>
        <v/>
      </c>
    </row>
    <row r="93" ht="15" customHeight="1" s="47">
      <c r="A93" s="183" t="n">
        <v>46205</v>
      </c>
      <c r="B93" s="182" t="inlineStr">
        <is>
          <t>T01</t>
        </is>
      </c>
      <c r="C93" s="182" t="inlineStr">
        <is>
          <t>EL-001</t>
        </is>
      </c>
      <c r="D93" s="59">
        <f>IFERROR(INDEX(Productos!$B$5:$B$124,MATCH($C93,Productos!$A$5:$A$124,0)),"")</f>
        <v/>
      </c>
      <c r="E93" s="59">
        <f>IFERROR(INDEX(Productos!$D$5:$D$124,MATCH($C93,Productos!$A$5:$A$124,0)),"")</f>
        <v/>
      </c>
      <c r="F93" s="186" t="n">
        <v>1</v>
      </c>
      <c r="G93" s="68">
        <f>IFERROR(INDEX(Productos!$H$5:$H$124,MATCH($C93,Productos!$A$5:$A$124,0)),"")</f>
        <v/>
      </c>
      <c r="H93" s="185" t="n">
        <v>0.03</v>
      </c>
      <c r="I93" s="68">
        <f>IFERROR($G93*(1-$H93),"")</f>
        <v/>
      </c>
      <c r="J93" s="182" t="inlineStr">
        <is>
          <t>Contado</t>
        </is>
      </c>
      <c r="K93" s="69">
        <f>IF($J93="",0,IF($J93="Contado",Inicio!$C$26,IF($J93="Tarjeta",Inicio!$C$27,IF($J93="Crédito propio",Inicio!$C$28,0))))</f>
        <v/>
      </c>
      <c r="L93" s="68">
        <f>IFERROR($F93*$I93,"")</f>
        <v/>
      </c>
      <c r="M93" s="68">
        <f>IFERROR($F93*INDEX(Productos!$G$5:$G$124,MATCH($C93,Productos!$A$5:$A$124,0)),"")</f>
        <v/>
      </c>
      <c r="N93" s="68">
        <f>IFERROR($L93*$K93,"")</f>
        <v/>
      </c>
      <c r="O93" s="68">
        <f>IFERROR($L93-$M93,"")</f>
        <v/>
      </c>
      <c r="P93" s="68">
        <f>IFERROR($O93-$N93,"")</f>
        <v/>
      </c>
      <c r="Q93" s="69">
        <f>IFERROR($P93/$L93,"")</f>
        <v/>
      </c>
    </row>
    <row r="94" ht="15" customHeight="1" s="47">
      <c r="A94" s="183" t="n">
        <v>46205</v>
      </c>
      <c r="B94" s="182" t="inlineStr">
        <is>
          <t>T01</t>
        </is>
      </c>
      <c r="C94" s="182" t="inlineStr">
        <is>
          <t>EL-006</t>
        </is>
      </c>
      <c r="D94" s="59">
        <f>IFERROR(INDEX(Productos!$B$5:$B$124,MATCH($C94,Productos!$A$5:$A$124,0)),"")</f>
        <v/>
      </c>
      <c r="E94" s="59">
        <f>IFERROR(INDEX(Productos!$D$5:$D$124,MATCH($C94,Productos!$A$5:$A$124,0)),"")</f>
        <v/>
      </c>
      <c r="F94" s="186" t="n">
        <v>1</v>
      </c>
      <c r="G94" s="68">
        <f>IFERROR(INDEX(Productos!$H$5:$H$124,MATCH($C94,Productos!$A$5:$A$124,0)),"")</f>
        <v/>
      </c>
      <c r="H94" s="185" t="n">
        <v>0.05</v>
      </c>
      <c r="I94" s="68">
        <f>IFERROR($G94*(1-$H94),"")</f>
        <v/>
      </c>
      <c r="J94" s="182" t="inlineStr">
        <is>
          <t>Tarjeta</t>
        </is>
      </c>
      <c r="K94" s="69">
        <f>IF($J94="",0,IF($J94="Contado",Inicio!$C$26,IF($J94="Tarjeta",Inicio!$C$27,IF($J94="Crédito propio",Inicio!$C$28,0))))</f>
        <v/>
      </c>
      <c r="L94" s="68">
        <f>IFERROR($F94*$I94,"")</f>
        <v/>
      </c>
      <c r="M94" s="68">
        <f>IFERROR($F94*INDEX(Productos!$G$5:$G$124,MATCH($C94,Productos!$A$5:$A$124,0)),"")</f>
        <v/>
      </c>
      <c r="N94" s="68">
        <f>IFERROR($L94*$K94,"")</f>
        <v/>
      </c>
      <c r="O94" s="68">
        <f>IFERROR($L94-$M94,"")</f>
        <v/>
      </c>
      <c r="P94" s="68">
        <f>IFERROR($O94-$N94,"")</f>
        <v/>
      </c>
      <c r="Q94" s="69">
        <f>IFERROR($P94/$L94,"")</f>
        <v/>
      </c>
    </row>
    <row r="95" ht="15" customHeight="1" s="47">
      <c r="A95" s="183" t="n">
        <v>46205</v>
      </c>
      <c r="B95" s="182" t="inlineStr">
        <is>
          <t>T01</t>
        </is>
      </c>
      <c r="C95" s="182" t="inlineStr">
        <is>
          <t>EL-007</t>
        </is>
      </c>
      <c r="D95" s="59">
        <f>IFERROR(INDEX(Productos!$B$5:$B$124,MATCH($C95,Productos!$A$5:$A$124,0)),"")</f>
        <v/>
      </c>
      <c r="E95" s="59">
        <f>IFERROR(INDEX(Productos!$D$5:$D$124,MATCH($C95,Productos!$A$5:$A$124,0)),"")</f>
        <v/>
      </c>
      <c r="F95" s="186" t="n">
        <v>1</v>
      </c>
      <c r="G95" s="68">
        <f>IFERROR(INDEX(Productos!$H$5:$H$124,MATCH($C95,Productos!$A$5:$A$124,0)),"")</f>
        <v/>
      </c>
      <c r="H95" s="185" t="n">
        <v>0</v>
      </c>
      <c r="I95" s="68">
        <f>IFERROR($G95*(1-$H95),"")</f>
        <v/>
      </c>
      <c r="J95" s="182" t="inlineStr">
        <is>
          <t>Contado</t>
        </is>
      </c>
      <c r="K95" s="69">
        <f>IF($J95="",0,IF($J95="Contado",Inicio!$C$26,IF($J95="Tarjeta",Inicio!$C$27,IF($J95="Crédito propio",Inicio!$C$28,0))))</f>
        <v/>
      </c>
      <c r="L95" s="68">
        <f>IFERROR($F95*$I95,"")</f>
        <v/>
      </c>
      <c r="M95" s="68">
        <f>IFERROR($F95*INDEX(Productos!$G$5:$G$124,MATCH($C95,Productos!$A$5:$A$124,0)),"")</f>
        <v/>
      </c>
      <c r="N95" s="68">
        <f>IFERROR($L95*$K95,"")</f>
        <v/>
      </c>
      <c r="O95" s="68">
        <f>IFERROR($L95-$M95,"")</f>
        <v/>
      </c>
      <c r="P95" s="68">
        <f>IFERROR($O95-$N95,"")</f>
        <v/>
      </c>
      <c r="Q95" s="69">
        <f>IFERROR($P95/$L95,"")</f>
        <v/>
      </c>
    </row>
    <row r="96" ht="15" customHeight="1" s="47">
      <c r="A96" s="183" t="n">
        <v>46205</v>
      </c>
      <c r="B96" s="182" t="inlineStr">
        <is>
          <t>T01</t>
        </is>
      </c>
      <c r="C96" s="182" t="inlineStr">
        <is>
          <t>EL-008</t>
        </is>
      </c>
      <c r="D96" s="59">
        <f>IFERROR(INDEX(Productos!$B$5:$B$124,MATCH($C96,Productos!$A$5:$A$124,0)),"")</f>
        <v/>
      </c>
      <c r="E96" s="59">
        <f>IFERROR(INDEX(Productos!$D$5:$D$124,MATCH($C96,Productos!$A$5:$A$124,0)),"")</f>
        <v/>
      </c>
      <c r="F96" s="186" t="n">
        <v>1</v>
      </c>
      <c r="G96" s="68">
        <f>IFERROR(INDEX(Productos!$H$5:$H$124,MATCH($C96,Productos!$A$5:$A$124,0)),"")</f>
        <v/>
      </c>
      <c r="H96" s="185" t="n">
        <v>0.03</v>
      </c>
      <c r="I96" s="68">
        <f>IFERROR($G96*(1-$H96),"")</f>
        <v/>
      </c>
      <c r="J96" s="182" t="inlineStr">
        <is>
          <t>Crédito propio</t>
        </is>
      </c>
      <c r="K96" s="69">
        <f>IF($J96="",0,IF($J96="Contado",Inicio!$C$26,IF($J96="Tarjeta",Inicio!$C$27,IF($J96="Crédito propio",Inicio!$C$28,0))))</f>
        <v/>
      </c>
      <c r="L96" s="68">
        <f>IFERROR($F96*$I96,"")</f>
        <v/>
      </c>
      <c r="M96" s="68">
        <f>IFERROR($F96*INDEX(Productos!$G$5:$G$124,MATCH($C96,Productos!$A$5:$A$124,0)),"")</f>
        <v/>
      </c>
      <c r="N96" s="68">
        <f>IFERROR($L96*$K96,"")</f>
        <v/>
      </c>
      <c r="O96" s="68">
        <f>IFERROR($L96-$M96,"")</f>
        <v/>
      </c>
      <c r="P96" s="68">
        <f>IFERROR($O96-$N96,"")</f>
        <v/>
      </c>
      <c r="Q96" s="69">
        <f>IFERROR($P96/$L96,"")</f>
        <v/>
      </c>
    </row>
    <row r="97" ht="15" customHeight="1" s="47">
      <c r="A97" s="183" t="n">
        <v>46205</v>
      </c>
      <c r="B97" s="182" t="inlineStr">
        <is>
          <t>T01</t>
        </is>
      </c>
      <c r="C97" s="182" t="inlineStr">
        <is>
          <t>EL-011</t>
        </is>
      </c>
      <c r="D97" s="59">
        <f>IFERROR(INDEX(Productos!$B$5:$B$124,MATCH($C97,Productos!$A$5:$A$124,0)),"")</f>
        <v/>
      </c>
      <c r="E97" s="59">
        <f>IFERROR(INDEX(Productos!$D$5:$D$124,MATCH($C97,Productos!$A$5:$A$124,0)),"")</f>
        <v/>
      </c>
      <c r="F97" s="186" t="n">
        <v>1</v>
      </c>
      <c r="G97" s="68">
        <f>IFERROR(INDEX(Productos!$H$5:$H$124,MATCH($C97,Productos!$A$5:$A$124,0)),"")</f>
        <v/>
      </c>
      <c r="H97" s="185" t="n">
        <v>0.07291666666666663</v>
      </c>
      <c r="I97" s="68">
        <f>IFERROR($G97*(1-$H97),"")</f>
        <v/>
      </c>
      <c r="J97" s="182" t="inlineStr">
        <is>
          <t>Tarjeta</t>
        </is>
      </c>
      <c r="K97" s="69">
        <f>IF($J97="",0,IF($J97="Contado",Inicio!$C$26,IF($J97="Tarjeta",Inicio!$C$27,IF($J97="Crédito propio",Inicio!$C$28,0))))</f>
        <v/>
      </c>
      <c r="L97" s="68">
        <f>IFERROR($F97*$I97,"")</f>
        <v/>
      </c>
      <c r="M97" s="68">
        <f>IFERROR($F97*INDEX(Productos!$G$5:$G$124,MATCH($C97,Productos!$A$5:$A$124,0)),"")</f>
        <v/>
      </c>
      <c r="N97" s="68">
        <f>IFERROR($L97*$K97,"")</f>
        <v/>
      </c>
      <c r="O97" s="68">
        <f>IFERROR($L97-$M97,"")</f>
        <v/>
      </c>
      <c r="P97" s="68">
        <f>IFERROR($O97-$N97,"")</f>
        <v/>
      </c>
      <c r="Q97" s="69">
        <f>IFERROR($P97/$L97,"")</f>
        <v/>
      </c>
    </row>
    <row r="98" ht="15" customHeight="1" s="47">
      <c r="A98" s="183" t="n">
        <v>46205</v>
      </c>
      <c r="B98" s="182" t="inlineStr">
        <is>
          <t>T01</t>
        </is>
      </c>
      <c r="C98" s="182" t="inlineStr">
        <is>
          <t>EL-013</t>
        </is>
      </c>
      <c r="D98" s="59">
        <f>IFERROR(INDEX(Productos!$B$5:$B$124,MATCH($C98,Productos!$A$5:$A$124,0)),"")</f>
        <v/>
      </c>
      <c r="E98" s="59">
        <f>IFERROR(INDEX(Productos!$D$5:$D$124,MATCH($C98,Productos!$A$5:$A$124,0)),"")</f>
        <v/>
      </c>
      <c r="F98" s="186" t="n">
        <v>1</v>
      </c>
      <c r="G98" s="68">
        <f>IFERROR(INDEX(Productos!$H$5:$H$124,MATCH($C98,Productos!$A$5:$A$124,0)),"")</f>
        <v/>
      </c>
      <c r="H98" s="185" t="n">
        <v>0.03</v>
      </c>
      <c r="I98" s="68">
        <f>IFERROR($G98*(1-$H98),"")</f>
        <v/>
      </c>
      <c r="J98" s="182" t="inlineStr">
        <is>
          <t>Tarjeta</t>
        </is>
      </c>
      <c r="K98" s="69">
        <f>IF($J98="",0,IF($J98="Contado",Inicio!$C$26,IF($J98="Tarjeta",Inicio!$C$27,IF($J98="Crédito propio",Inicio!$C$28,0))))</f>
        <v/>
      </c>
      <c r="L98" s="68">
        <f>IFERROR($F98*$I98,"")</f>
        <v/>
      </c>
      <c r="M98" s="68">
        <f>IFERROR($F98*INDEX(Productos!$G$5:$G$124,MATCH($C98,Productos!$A$5:$A$124,0)),"")</f>
        <v/>
      </c>
      <c r="N98" s="68">
        <f>IFERROR($L98*$K98,"")</f>
        <v/>
      </c>
      <c r="O98" s="68">
        <f>IFERROR($L98-$M98,"")</f>
        <v/>
      </c>
      <c r="P98" s="68">
        <f>IFERROR($O98-$N98,"")</f>
        <v/>
      </c>
      <c r="Q98" s="69">
        <f>IFERROR($P98/$L98,"")</f>
        <v/>
      </c>
    </row>
    <row r="99" ht="15" customHeight="1" s="47">
      <c r="A99" s="183" t="n">
        <v>46205</v>
      </c>
      <c r="B99" s="182" t="inlineStr">
        <is>
          <t>T01</t>
        </is>
      </c>
      <c r="C99" s="182" t="inlineStr">
        <is>
          <t>EL-016</t>
        </is>
      </c>
      <c r="D99" s="59">
        <f>IFERROR(INDEX(Productos!$B$5:$B$124,MATCH($C99,Productos!$A$5:$A$124,0)),"")</f>
        <v/>
      </c>
      <c r="E99" s="59">
        <f>IFERROR(INDEX(Productos!$D$5:$D$124,MATCH($C99,Productos!$A$5:$A$124,0)),"")</f>
        <v/>
      </c>
      <c r="F99" s="186" t="n">
        <v>1</v>
      </c>
      <c r="G99" s="68">
        <f>IFERROR(INDEX(Productos!$H$5:$H$124,MATCH($C99,Productos!$A$5:$A$124,0)),"")</f>
        <v/>
      </c>
      <c r="H99" s="185" t="n">
        <v>0.03</v>
      </c>
      <c r="I99" s="68">
        <f>IFERROR($G99*(1-$H99),"")</f>
        <v/>
      </c>
      <c r="J99" s="182" t="inlineStr">
        <is>
          <t>Contado</t>
        </is>
      </c>
      <c r="K99" s="69">
        <f>IF($J99="",0,IF($J99="Contado",Inicio!$C$26,IF($J99="Tarjeta",Inicio!$C$27,IF($J99="Crédito propio",Inicio!$C$28,0))))</f>
        <v/>
      </c>
      <c r="L99" s="68">
        <f>IFERROR($F99*$I99,"")</f>
        <v/>
      </c>
      <c r="M99" s="68">
        <f>IFERROR($F99*INDEX(Productos!$G$5:$G$124,MATCH($C99,Productos!$A$5:$A$124,0)),"")</f>
        <v/>
      </c>
      <c r="N99" s="68">
        <f>IFERROR($L99*$K99,"")</f>
        <v/>
      </c>
      <c r="O99" s="68">
        <f>IFERROR($L99-$M99,"")</f>
        <v/>
      </c>
      <c r="P99" s="68">
        <f>IFERROR($O99-$N99,"")</f>
        <v/>
      </c>
      <c r="Q99" s="69">
        <f>IFERROR($P99/$L99,"")</f>
        <v/>
      </c>
    </row>
    <row r="100" ht="15" customHeight="1" s="47">
      <c r="A100" s="183" t="n">
        <v>46205</v>
      </c>
      <c r="B100" s="182" t="inlineStr">
        <is>
          <t>T01</t>
        </is>
      </c>
      <c r="C100" s="182" t="inlineStr">
        <is>
          <t>EL-018</t>
        </is>
      </c>
      <c r="D100" s="59">
        <f>IFERROR(INDEX(Productos!$B$5:$B$124,MATCH($C100,Productos!$A$5:$A$124,0)),"")</f>
        <v/>
      </c>
      <c r="E100" s="59">
        <f>IFERROR(INDEX(Productos!$D$5:$D$124,MATCH($C100,Productos!$A$5:$A$124,0)),"")</f>
        <v/>
      </c>
      <c r="F100" s="186" t="n">
        <v>1</v>
      </c>
      <c r="G100" s="68">
        <f>IFERROR(INDEX(Productos!$H$5:$H$124,MATCH($C100,Productos!$A$5:$A$124,0)),"")</f>
        <v/>
      </c>
      <c r="H100" s="185" t="n">
        <v>0.05</v>
      </c>
      <c r="I100" s="68">
        <f>IFERROR($G100*(1-$H100),"")</f>
        <v/>
      </c>
      <c r="J100" s="182" t="inlineStr">
        <is>
          <t>Tarjeta</t>
        </is>
      </c>
      <c r="K100" s="69">
        <f>IF($J100="",0,IF($J100="Contado",Inicio!$C$26,IF($J100="Tarjeta",Inicio!$C$27,IF($J100="Crédito propio",Inicio!$C$28,0))))</f>
        <v/>
      </c>
      <c r="L100" s="68">
        <f>IFERROR($F100*$I100,"")</f>
        <v/>
      </c>
      <c r="M100" s="68">
        <f>IFERROR($F100*INDEX(Productos!$G$5:$G$124,MATCH($C100,Productos!$A$5:$A$124,0)),"")</f>
        <v/>
      </c>
      <c r="N100" s="68">
        <f>IFERROR($L100*$K100,"")</f>
        <v/>
      </c>
      <c r="O100" s="68">
        <f>IFERROR($L100-$M100,"")</f>
        <v/>
      </c>
      <c r="P100" s="68">
        <f>IFERROR($O100-$N100,"")</f>
        <v/>
      </c>
      <c r="Q100" s="69">
        <f>IFERROR($P100/$L100,"")</f>
        <v/>
      </c>
    </row>
    <row r="101" ht="15" customHeight="1" s="47">
      <c r="A101" s="183" t="n">
        <v>46205</v>
      </c>
      <c r="B101" s="182" t="inlineStr">
        <is>
          <t>T01</t>
        </is>
      </c>
      <c r="C101" s="182" t="inlineStr">
        <is>
          <t>EL-024</t>
        </is>
      </c>
      <c r="D101" s="59">
        <f>IFERROR(INDEX(Productos!$B$5:$B$124,MATCH($C101,Productos!$A$5:$A$124,0)),"")</f>
        <v/>
      </c>
      <c r="E101" s="59">
        <f>IFERROR(INDEX(Productos!$D$5:$D$124,MATCH($C101,Productos!$A$5:$A$124,0)),"")</f>
        <v/>
      </c>
      <c r="F101" s="186" t="n">
        <v>1</v>
      </c>
      <c r="G101" s="68">
        <f>IFERROR(INDEX(Productos!$H$5:$H$124,MATCH($C101,Productos!$A$5:$A$124,0)),"")</f>
        <v/>
      </c>
      <c r="H101" s="185" t="n">
        <v>0.05</v>
      </c>
      <c r="I101" s="68">
        <f>IFERROR($G101*(1-$H101),"")</f>
        <v/>
      </c>
      <c r="J101" s="182" t="inlineStr">
        <is>
          <t>Crédito propio</t>
        </is>
      </c>
      <c r="K101" s="69">
        <f>IF($J101="",0,IF($J101="Contado",Inicio!$C$26,IF($J101="Tarjeta",Inicio!$C$27,IF($J101="Crédito propio",Inicio!$C$28,0))))</f>
        <v/>
      </c>
      <c r="L101" s="68">
        <f>IFERROR($F101*$I101,"")</f>
        <v/>
      </c>
      <c r="M101" s="68">
        <f>IFERROR($F101*INDEX(Productos!$G$5:$G$124,MATCH($C101,Productos!$A$5:$A$124,0)),"")</f>
        <v/>
      </c>
      <c r="N101" s="68">
        <f>IFERROR($L101*$K101,"")</f>
        <v/>
      </c>
      <c r="O101" s="68">
        <f>IFERROR($L101-$M101,"")</f>
        <v/>
      </c>
      <c r="P101" s="68">
        <f>IFERROR($O101-$N101,"")</f>
        <v/>
      </c>
      <c r="Q101" s="69">
        <f>IFERROR($P101/$L101,"")</f>
        <v/>
      </c>
    </row>
    <row r="102" ht="15" customHeight="1" s="47">
      <c r="A102" s="183" t="n">
        <v>46205</v>
      </c>
      <c r="B102" s="182" t="inlineStr">
        <is>
          <t>T01</t>
        </is>
      </c>
      <c r="C102" s="182" t="inlineStr">
        <is>
          <t>EL-025</t>
        </is>
      </c>
      <c r="D102" s="59">
        <f>IFERROR(INDEX(Productos!$B$5:$B$124,MATCH($C102,Productos!$A$5:$A$124,0)),"")</f>
        <v/>
      </c>
      <c r="E102" s="59">
        <f>IFERROR(INDEX(Productos!$D$5:$D$124,MATCH($C102,Productos!$A$5:$A$124,0)),"")</f>
        <v/>
      </c>
      <c r="F102" s="186" t="n">
        <v>1</v>
      </c>
      <c r="G102" s="68">
        <f>IFERROR(INDEX(Productos!$H$5:$H$124,MATCH($C102,Productos!$A$5:$A$124,0)),"")</f>
        <v/>
      </c>
      <c r="H102" s="185" t="n">
        <v>0.03</v>
      </c>
      <c r="I102" s="68">
        <f>IFERROR($G102*(1-$H102),"")</f>
        <v/>
      </c>
      <c r="J102" s="182" t="inlineStr">
        <is>
          <t>Crédito propio</t>
        </is>
      </c>
      <c r="K102" s="69">
        <f>IF($J102="",0,IF($J102="Contado",Inicio!$C$26,IF($J102="Tarjeta",Inicio!$C$27,IF($J102="Crédito propio",Inicio!$C$28,0))))</f>
        <v/>
      </c>
      <c r="L102" s="68">
        <f>IFERROR($F102*$I102,"")</f>
        <v/>
      </c>
      <c r="M102" s="68">
        <f>IFERROR($F102*INDEX(Productos!$G$5:$G$124,MATCH($C102,Productos!$A$5:$A$124,0)),"")</f>
        <v/>
      </c>
      <c r="N102" s="68">
        <f>IFERROR($L102*$K102,"")</f>
        <v/>
      </c>
      <c r="O102" s="68">
        <f>IFERROR($L102-$M102,"")</f>
        <v/>
      </c>
      <c r="P102" s="68">
        <f>IFERROR($O102-$N102,"")</f>
        <v/>
      </c>
      <c r="Q102" s="69">
        <f>IFERROR($P102/$L102,"")</f>
        <v/>
      </c>
    </row>
    <row r="103" ht="15" customHeight="1" s="47">
      <c r="A103" s="183" t="n">
        <v>46205</v>
      </c>
      <c r="B103" s="182" t="inlineStr">
        <is>
          <t>T01</t>
        </is>
      </c>
      <c r="C103" s="182" t="inlineStr">
        <is>
          <t>EL-028</t>
        </is>
      </c>
      <c r="D103" s="59">
        <f>IFERROR(INDEX(Productos!$B$5:$B$124,MATCH($C103,Productos!$A$5:$A$124,0)),"")</f>
        <v/>
      </c>
      <c r="E103" s="59">
        <f>IFERROR(INDEX(Productos!$D$5:$D$124,MATCH($C103,Productos!$A$5:$A$124,0)),"")</f>
        <v/>
      </c>
      <c r="F103" s="186" t="n">
        <v>1</v>
      </c>
      <c r="G103" s="68">
        <f>IFERROR(INDEX(Productos!$H$5:$H$124,MATCH($C103,Productos!$A$5:$A$124,0)),"")</f>
        <v/>
      </c>
      <c r="H103" s="185" t="n">
        <v>0.05</v>
      </c>
      <c r="I103" s="68">
        <f>IFERROR($G103*(1-$H103),"")</f>
        <v/>
      </c>
      <c r="J103" s="182" t="inlineStr">
        <is>
          <t>Tarjeta</t>
        </is>
      </c>
      <c r="K103" s="69">
        <f>IF($J103="",0,IF($J103="Contado",Inicio!$C$26,IF($J103="Tarjeta",Inicio!$C$27,IF($J103="Crédito propio",Inicio!$C$28,0))))</f>
        <v/>
      </c>
      <c r="L103" s="68">
        <f>IFERROR($F103*$I103,"")</f>
        <v/>
      </c>
      <c r="M103" s="68">
        <f>IFERROR($F103*INDEX(Productos!$G$5:$G$124,MATCH($C103,Productos!$A$5:$A$124,0)),"")</f>
        <v/>
      </c>
      <c r="N103" s="68">
        <f>IFERROR($L103*$K103,"")</f>
        <v/>
      </c>
      <c r="O103" s="68">
        <f>IFERROR($L103-$M103,"")</f>
        <v/>
      </c>
      <c r="P103" s="68">
        <f>IFERROR($O103-$N103,"")</f>
        <v/>
      </c>
      <c r="Q103" s="69">
        <f>IFERROR($P103/$L103,"")</f>
        <v/>
      </c>
    </row>
    <row r="104" ht="15" customHeight="1" s="47">
      <c r="A104" s="183" t="n">
        <v>46205</v>
      </c>
      <c r="B104" s="182" t="inlineStr">
        <is>
          <t>T01</t>
        </is>
      </c>
      <c r="C104" s="182" t="inlineStr">
        <is>
          <t>EL-036</t>
        </is>
      </c>
      <c r="D104" s="59">
        <f>IFERROR(INDEX(Productos!$B$5:$B$124,MATCH($C104,Productos!$A$5:$A$124,0)),"")</f>
        <v/>
      </c>
      <c r="E104" s="59">
        <f>IFERROR(INDEX(Productos!$D$5:$D$124,MATCH($C104,Productos!$A$5:$A$124,0)),"")</f>
        <v/>
      </c>
      <c r="F104" s="186" t="n">
        <v>1</v>
      </c>
      <c r="G104" s="68">
        <f>IFERROR(INDEX(Productos!$H$5:$H$124,MATCH($C104,Productos!$A$5:$A$124,0)),"")</f>
        <v/>
      </c>
      <c r="H104" s="185" t="n">
        <v>0.05</v>
      </c>
      <c r="I104" s="68">
        <f>IFERROR($G104*(1-$H104),"")</f>
        <v/>
      </c>
      <c r="J104" s="182" t="inlineStr">
        <is>
          <t>Crédito propio</t>
        </is>
      </c>
      <c r="K104" s="69">
        <f>IF($J104="",0,IF($J104="Contado",Inicio!$C$26,IF($J104="Tarjeta",Inicio!$C$27,IF($J104="Crédito propio",Inicio!$C$28,0))))</f>
        <v/>
      </c>
      <c r="L104" s="68">
        <f>IFERROR($F104*$I104,"")</f>
        <v/>
      </c>
      <c r="M104" s="68">
        <f>IFERROR($F104*INDEX(Productos!$G$5:$G$124,MATCH($C104,Productos!$A$5:$A$124,0)),"")</f>
        <v/>
      </c>
      <c r="N104" s="68">
        <f>IFERROR($L104*$K104,"")</f>
        <v/>
      </c>
      <c r="O104" s="68">
        <f>IFERROR($L104-$M104,"")</f>
        <v/>
      </c>
      <c r="P104" s="68">
        <f>IFERROR($O104-$N104,"")</f>
        <v/>
      </c>
      <c r="Q104" s="69">
        <f>IFERROR($P104/$L104,"")</f>
        <v/>
      </c>
    </row>
    <row r="105" ht="15" customHeight="1" s="47">
      <c r="A105" s="183" t="n">
        <v>46205</v>
      </c>
      <c r="B105" s="182" t="inlineStr">
        <is>
          <t>T01</t>
        </is>
      </c>
      <c r="C105" s="182" t="inlineStr">
        <is>
          <t>EL-037</t>
        </is>
      </c>
      <c r="D105" s="59">
        <f>IFERROR(INDEX(Productos!$B$5:$B$124,MATCH($C105,Productos!$A$5:$A$124,0)),"")</f>
        <v/>
      </c>
      <c r="E105" s="59">
        <f>IFERROR(INDEX(Productos!$D$5:$D$124,MATCH($C105,Productos!$A$5:$A$124,0)),"")</f>
        <v/>
      </c>
      <c r="F105" s="186" t="n">
        <v>1</v>
      </c>
      <c r="G105" s="68">
        <f>IFERROR(INDEX(Productos!$H$5:$H$124,MATCH($C105,Productos!$A$5:$A$124,0)),"")</f>
        <v/>
      </c>
      <c r="H105" s="185" t="n">
        <v>0</v>
      </c>
      <c r="I105" s="68">
        <f>IFERROR($G105*(1-$H105),"")</f>
        <v/>
      </c>
      <c r="J105" s="182" t="inlineStr">
        <is>
          <t>Tarjeta</t>
        </is>
      </c>
      <c r="K105" s="69">
        <f>IF($J105="",0,IF($J105="Contado",Inicio!$C$26,IF($J105="Tarjeta",Inicio!$C$27,IF($J105="Crédito propio",Inicio!$C$28,0))))</f>
        <v/>
      </c>
      <c r="L105" s="68">
        <f>IFERROR($F105*$I105,"")</f>
        <v/>
      </c>
      <c r="M105" s="68">
        <f>IFERROR($F105*INDEX(Productos!$G$5:$G$124,MATCH($C105,Productos!$A$5:$A$124,0)),"")</f>
        <v/>
      </c>
      <c r="N105" s="68">
        <f>IFERROR($L105*$K105,"")</f>
        <v/>
      </c>
      <c r="O105" s="68">
        <f>IFERROR($L105-$M105,"")</f>
        <v/>
      </c>
      <c r="P105" s="68">
        <f>IFERROR($O105-$N105,"")</f>
        <v/>
      </c>
      <c r="Q105" s="69">
        <f>IFERROR($P105/$L105,"")</f>
        <v/>
      </c>
    </row>
    <row r="106" ht="15" customHeight="1" s="47">
      <c r="A106" s="183" t="n">
        <v>46205</v>
      </c>
      <c r="B106" s="182" t="inlineStr">
        <is>
          <t>T01</t>
        </is>
      </c>
      <c r="C106" s="182" t="inlineStr">
        <is>
          <t>EL-038</t>
        </is>
      </c>
      <c r="D106" s="59">
        <f>IFERROR(INDEX(Productos!$B$5:$B$124,MATCH($C106,Productos!$A$5:$A$124,0)),"")</f>
        <v/>
      </c>
      <c r="E106" s="59">
        <f>IFERROR(INDEX(Productos!$D$5:$D$124,MATCH($C106,Productos!$A$5:$A$124,0)),"")</f>
        <v/>
      </c>
      <c r="F106" s="186" t="n">
        <v>1</v>
      </c>
      <c r="G106" s="68">
        <f>IFERROR(INDEX(Productos!$H$5:$H$124,MATCH($C106,Productos!$A$5:$A$124,0)),"")</f>
        <v/>
      </c>
      <c r="H106" s="185" t="n">
        <v>0.06837606837606836</v>
      </c>
      <c r="I106" s="68">
        <f>IFERROR($G106*(1-$H106),"")</f>
        <v/>
      </c>
      <c r="J106" s="182" t="inlineStr">
        <is>
          <t>Tarjeta</t>
        </is>
      </c>
      <c r="K106" s="69">
        <f>IF($J106="",0,IF($J106="Contado",Inicio!$C$26,IF($J106="Tarjeta",Inicio!$C$27,IF($J106="Crédito propio",Inicio!$C$28,0))))</f>
        <v/>
      </c>
      <c r="L106" s="68">
        <f>IFERROR($F106*$I106,"")</f>
        <v/>
      </c>
      <c r="M106" s="68">
        <f>IFERROR($F106*INDEX(Productos!$G$5:$G$124,MATCH($C106,Productos!$A$5:$A$124,0)),"")</f>
        <v/>
      </c>
      <c r="N106" s="68">
        <f>IFERROR($L106*$K106,"")</f>
        <v/>
      </c>
      <c r="O106" s="68">
        <f>IFERROR($L106-$M106,"")</f>
        <v/>
      </c>
      <c r="P106" s="68">
        <f>IFERROR($O106-$N106,"")</f>
        <v/>
      </c>
      <c r="Q106" s="69">
        <f>IFERROR($P106/$L106,"")</f>
        <v/>
      </c>
    </row>
    <row r="107" ht="15" customHeight="1" s="47">
      <c r="A107" s="183" t="n">
        <v>46205</v>
      </c>
      <c r="B107" s="182" t="inlineStr">
        <is>
          <t>T01</t>
        </is>
      </c>
      <c r="C107" s="182" t="inlineStr">
        <is>
          <t>EL-039</t>
        </is>
      </c>
      <c r="D107" s="59">
        <f>IFERROR(INDEX(Productos!$B$5:$B$124,MATCH($C107,Productos!$A$5:$A$124,0)),"")</f>
        <v/>
      </c>
      <c r="E107" s="59">
        <f>IFERROR(INDEX(Productos!$D$5:$D$124,MATCH($C107,Productos!$A$5:$A$124,0)),"")</f>
        <v/>
      </c>
      <c r="F107" s="186" t="n">
        <v>1</v>
      </c>
      <c r="G107" s="68">
        <f>IFERROR(INDEX(Productos!$H$5:$H$124,MATCH($C107,Productos!$A$5:$A$124,0)),"")</f>
        <v/>
      </c>
      <c r="H107" s="185" t="n">
        <v>0.05</v>
      </c>
      <c r="I107" s="68">
        <f>IFERROR($G107*(1-$H107),"")</f>
        <v/>
      </c>
      <c r="J107" s="182" t="inlineStr">
        <is>
          <t>Contado</t>
        </is>
      </c>
      <c r="K107" s="69">
        <f>IF($J107="",0,IF($J107="Contado",Inicio!$C$26,IF($J107="Tarjeta",Inicio!$C$27,IF($J107="Crédito propio",Inicio!$C$28,0))))</f>
        <v/>
      </c>
      <c r="L107" s="68">
        <f>IFERROR($F107*$I107,"")</f>
        <v/>
      </c>
      <c r="M107" s="68">
        <f>IFERROR($F107*INDEX(Productos!$G$5:$G$124,MATCH($C107,Productos!$A$5:$A$124,0)),"")</f>
        <v/>
      </c>
      <c r="N107" s="68">
        <f>IFERROR($L107*$K107,"")</f>
        <v/>
      </c>
      <c r="O107" s="68">
        <f>IFERROR($L107-$M107,"")</f>
        <v/>
      </c>
      <c r="P107" s="68">
        <f>IFERROR($O107-$N107,"")</f>
        <v/>
      </c>
      <c r="Q107" s="69">
        <f>IFERROR($P107/$L107,"")</f>
        <v/>
      </c>
    </row>
    <row r="108" ht="15" customHeight="1" s="47">
      <c r="A108" s="183" t="n">
        <v>46205</v>
      </c>
      <c r="B108" s="182" t="inlineStr">
        <is>
          <t>T01</t>
        </is>
      </c>
      <c r="C108" s="182" t="inlineStr">
        <is>
          <t>EL-040</t>
        </is>
      </c>
      <c r="D108" s="59">
        <f>IFERROR(INDEX(Productos!$B$5:$B$124,MATCH($C108,Productos!$A$5:$A$124,0)),"")</f>
        <v/>
      </c>
      <c r="E108" s="59">
        <f>IFERROR(INDEX(Productos!$D$5:$D$124,MATCH($C108,Productos!$A$5:$A$124,0)),"")</f>
        <v/>
      </c>
      <c r="F108" s="186" t="n">
        <v>1</v>
      </c>
      <c r="G108" s="68">
        <f>IFERROR(INDEX(Productos!$H$5:$H$124,MATCH($C108,Productos!$A$5:$A$124,0)),"")</f>
        <v/>
      </c>
      <c r="H108" s="185" t="n">
        <v>0</v>
      </c>
      <c r="I108" s="68">
        <f>IFERROR($G108*(1-$H108),"")</f>
        <v/>
      </c>
      <c r="J108" s="182" t="inlineStr">
        <is>
          <t>Contado</t>
        </is>
      </c>
      <c r="K108" s="69">
        <f>IF($J108="",0,IF($J108="Contado",Inicio!$C$26,IF($J108="Tarjeta",Inicio!$C$27,IF($J108="Crédito propio",Inicio!$C$28,0))))</f>
        <v/>
      </c>
      <c r="L108" s="68">
        <f>IFERROR($F108*$I108,"")</f>
        <v/>
      </c>
      <c r="M108" s="68">
        <f>IFERROR($F108*INDEX(Productos!$G$5:$G$124,MATCH($C108,Productos!$A$5:$A$124,0)),"")</f>
        <v/>
      </c>
      <c r="N108" s="68">
        <f>IFERROR($L108*$K108,"")</f>
        <v/>
      </c>
      <c r="O108" s="68">
        <f>IFERROR($L108-$M108,"")</f>
        <v/>
      </c>
      <c r="P108" s="68">
        <f>IFERROR($O108-$N108,"")</f>
        <v/>
      </c>
      <c r="Q108" s="69">
        <f>IFERROR($P108/$L108,"")</f>
        <v/>
      </c>
    </row>
    <row r="109" ht="15" customHeight="1" s="47">
      <c r="A109" s="183" t="n">
        <v>46205</v>
      </c>
      <c r="B109" s="182" t="inlineStr">
        <is>
          <t>T01</t>
        </is>
      </c>
      <c r="C109" s="182" t="inlineStr">
        <is>
          <t>EL-043</t>
        </is>
      </c>
      <c r="D109" s="59">
        <f>IFERROR(INDEX(Productos!$B$5:$B$124,MATCH($C109,Productos!$A$5:$A$124,0)),"")</f>
        <v/>
      </c>
      <c r="E109" s="59">
        <f>IFERROR(INDEX(Productos!$D$5:$D$124,MATCH($C109,Productos!$A$5:$A$124,0)),"")</f>
        <v/>
      </c>
      <c r="F109" s="186" t="n">
        <v>1</v>
      </c>
      <c r="G109" s="68">
        <f>IFERROR(INDEX(Productos!$H$5:$H$124,MATCH($C109,Productos!$A$5:$A$124,0)),"")</f>
        <v/>
      </c>
      <c r="H109" s="185" t="n">
        <v>0.03</v>
      </c>
      <c r="I109" s="68">
        <f>IFERROR($G109*(1-$H109),"")</f>
        <v/>
      </c>
      <c r="J109" s="182" t="inlineStr">
        <is>
          <t>Tarjeta</t>
        </is>
      </c>
      <c r="K109" s="69">
        <f>IF($J109="",0,IF($J109="Contado",Inicio!$C$26,IF($J109="Tarjeta",Inicio!$C$27,IF($J109="Crédito propio",Inicio!$C$28,0))))</f>
        <v/>
      </c>
      <c r="L109" s="68">
        <f>IFERROR($F109*$I109,"")</f>
        <v/>
      </c>
      <c r="M109" s="68">
        <f>IFERROR($F109*INDEX(Productos!$G$5:$G$124,MATCH($C109,Productos!$A$5:$A$124,0)),"")</f>
        <v/>
      </c>
      <c r="N109" s="68">
        <f>IFERROR($L109*$K109,"")</f>
        <v/>
      </c>
      <c r="O109" s="68">
        <f>IFERROR($L109-$M109,"")</f>
        <v/>
      </c>
      <c r="P109" s="68">
        <f>IFERROR($O109-$N109,"")</f>
        <v/>
      </c>
      <c r="Q109" s="69">
        <f>IFERROR($P109/$L109,"")</f>
        <v/>
      </c>
    </row>
    <row r="110" ht="15" customHeight="1" s="47">
      <c r="A110" s="183" t="n">
        <v>46205</v>
      </c>
      <c r="B110" s="182" t="inlineStr">
        <is>
          <t>T01</t>
        </is>
      </c>
      <c r="C110" s="182" t="inlineStr">
        <is>
          <t>EL-044</t>
        </is>
      </c>
      <c r="D110" s="59">
        <f>IFERROR(INDEX(Productos!$B$5:$B$124,MATCH($C110,Productos!$A$5:$A$124,0)),"")</f>
        <v/>
      </c>
      <c r="E110" s="59">
        <f>IFERROR(INDEX(Productos!$D$5:$D$124,MATCH($C110,Productos!$A$5:$A$124,0)),"")</f>
        <v/>
      </c>
      <c r="F110" s="186" t="n">
        <v>1</v>
      </c>
      <c r="G110" s="68">
        <f>IFERROR(INDEX(Productos!$H$5:$H$124,MATCH($C110,Productos!$A$5:$A$124,0)),"")</f>
        <v/>
      </c>
      <c r="H110" s="185" t="n">
        <v>0.03</v>
      </c>
      <c r="I110" s="68">
        <f>IFERROR($G110*(1-$H110),"")</f>
        <v/>
      </c>
      <c r="J110" s="182" t="inlineStr">
        <is>
          <t>Crédito propio</t>
        </is>
      </c>
      <c r="K110" s="69">
        <f>IF($J110="",0,IF($J110="Contado",Inicio!$C$26,IF($J110="Tarjeta",Inicio!$C$27,IF($J110="Crédito propio",Inicio!$C$28,0))))</f>
        <v/>
      </c>
      <c r="L110" s="68">
        <f>IFERROR($F110*$I110,"")</f>
        <v/>
      </c>
      <c r="M110" s="68">
        <f>IFERROR($F110*INDEX(Productos!$G$5:$G$124,MATCH($C110,Productos!$A$5:$A$124,0)),"")</f>
        <v/>
      </c>
      <c r="N110" s="68">
        <f>IFERROR($L110*$K110,"")</f>
        <v/>
      </c>
      <c r="O110" s="68">
        <f>IFERROR($L110-$M110,"")</f>
        <v/>
      </c>
      <c r="P110" s="68">
        <f>IFERROR($O110-$N110,"")</f>
        <v/>
      </c>
      <c r="Q110" s="69">
        <f>IFERROR($P110/$L110,"")</f>
        <v/>
      </c>
    </row>
    <row r="111" ht="15" customHeight="1" s="47">
      <c r="A111" s="183" t="n">
        <v>46205</v>
      </c>
      <c r="B111" s="182" t="inlineStr">
        <is>
          <t>T01</t>
        </is>
      </c>
      <c r="C111" s="182" t="inlineStr">
        <is>
          <t>EL-046</t>
        </is>
      </c>
      <c r="D111" s="59">
        <f>IFERROR(INDEX(Productos!$B$5:$B$124,MATCH($C111,Productos!$A$5:$A$124,0)),"")</f>
        <v/>
      </c>
      <c r="E111" s="59">
        <f>IFERROR(INDEX(Productos!$D$5:$D$124,MATCH($C111,Productos!$A$5:$A$124,0)),"")</f>
        <v/>
      </c>
      <c r="F111" s="186" t="n">
        <v>2</v>
      </c>
      <c r="G111" s="68">
        <f>IFERROR(INDEX(Productos!$H$5:$H$124,MATCH($C111,Productos!$A$5:$A$124,0)),"")</f>
        <v/>
      </c>
      <c r="H111" s="185" t="n">
        <v>0.03</v>
      </c>
      <c r="I111" s="68">
        <f>IFERROR($G111*(1-$H111),"")</f>
        <v/>
      </c>
      <c r="J111" s="182" t="inlineStr">
        <is>
          <t>Tarjeta</t>
        </is>
      </c>
      <c r="K111" s="69">
        <f>IF($J111="",0,IF($J111="Contado",Inicio!$C$26,IF($J111="Tarjeta",Inicio!$C$27,IF($J111="Crédito propio",Inicio!$C$28,0))))</f>
        <v/>
      </c>
      <c r="L111" s="68">
        <f>IFERROR($F111*$I111,"")</f>
        <v/>
      </c>
      <c r="M111" s="68">
        <f>IFERROR($F111*INDEX(Productos!$G$5:$G$124,MATCH($C111,Productos!$A$5:$A$124,0)),"")</f>
        <v/>
      </c>
      <c r="N111" s="68">
        <f>IFERROR($L111*$K111,"")</f>
        <v/>
      </c>
      <c r="O111" s="68">
        <f>IFERROR($L111-$M111,"")</f>
        <v/>
      </c>
      <c r="P111" s="68">
        <f>IFERROR($O111-$N111,"")</f>
        <v/>
      </c>
      <c r="Q111" s="69">
        <f>IFERROR($P111/$L111,"")</f>
        <v/>
      </c>
    </row>
    <row r="112" ht="15" customHeight="1" s="47">
      <c r="A112" s="183" t="n">
        <v>46205</v>
      </c>
      <c r="B112" s="182" t="inlineStr">
        <is>
          <t>T01</t>
        </is>
      </c>
      <c r="C112" s="182" t="inlineStr">
        <is>
          <t>EL-048</t>
        </is>
      </c>
      <c r="D112" s="59">
        <f>IFERROR(INDEX(Productos!$B$5:$B$124,MATCH($C112,Productos!$A$5:$A$124,0)),"")</f>
        <v/>
      </c>
      <c r="E112" s="59">
        <f>IFERROR(INDEX(Productos!$D$5:$D$124,MATCH($C112,Productos!$A$5:$A$124,0)),"")</f>
        <v/>
      </c>
      <c r="F112" s="186" t="n">
        <v>1</v>
      </c>
      <c r="G112" s="68">
        <f>IFERROR(INDEX(Productos!$H$5:$H$124,MATCH($C112,Productos!$A$5:$A$124,0)),"")</f>
        <v/>
      </c>
      <c r="H112" s="185" t="n">
        <v>0.05</v>
      </c>
      <c r="I112" s="68">
        <f>IFERROR($G112*(1-$H112),"")</f>
        <v/>
      </c>
      <c r="J112" s="182" t="inlineStr">
        <is>
          <t>Contado</t>
        </is>
      </c>
      <c r="K112" s="69">
        <f>IF($J112="",0,IF($J112="Contado",Inicio!$C$26,IF($J112="Tarjeta",Inicio!$C$27,IF($J112="Crédito propio",Inicio!$C$28,0))))</f>
        <v/>
      </c>
      <c r="L112" s="68">
        <f>IFERROR($F112*$I112,"")</f>
        <v/>
      </c>
      <c r="M112" s="68">
        <f>IFERROR($F112*INDEX(Productos!$G$5:$G$124,MATCH($C112,Productos!$A$5:$A$124,0)),"")</f>
        <v/>
      </c>
      <c r="N112" s="68">
        <f>IFERROR($L112*$K112,"")</f>
        <v/>
      </c>
      <c r="O112" s="68">
        <f>IFERROR($L112-$M112,"")</f>
        <v/>
      </c>
      <c r="P112" s="68">
        <f>IFERROR($O112-$N112,"")</f>
        <v/>
      </c>
      <c r="Q112" s="69">
        <f>IFERROR($P112/$L112,"")</f>
        <v/>
      </c>
    </row>
    <row r="113" ht="15" customHeight="1" s="47">
      <c r="A113" s="183" t="n">
        <v>46205</v>
      </c>
      <c r="B113" s="182" t="inlineStr">
        <is>
          <t>T01</t>
        </is>
      </c>
      <c r="C113" s="182" t="inlineStr">
        <is>
          <t>EL-049</t>
        </is>
      </c>
      <c r="D113" s="59">
        <f>IFERROR(INDEX(Productos!$B$5:$B$124,MATCH($C113,Productos!$A$5:$A$124,0)),"")</f>
        <v/>
      </c>
      <c r="E113" s="59">
        <f>IFERROR(INDEX(Productos!$D$5:$D$124,MATCH($C113,Productos!$A$5:$A$124,0)),"")</f>
        <v/>
      </c>
      <c r="F113" s="186" t="n">
        <v>1</v>
      </c>
      <c r="G113" s="68">
        <f>IFERROR(INDEX(Productos!$H$5:$H$124,MATCH($C113,Productos!$A$5:$A$124,0)),"")</f>
        <v/>
      </c>
      <c r="H113" s="185" t="n">
        <v>0</v>
      </c>
      <c r="I113" s="68">
        <f>IFERROR($G113*(1-$H113),"")</f>
        <v/>
      </c>
      <c r="J113" s="182" t="inlineStr">
        <is>
          <t>Tarjeta</t>
        </is>
      </c>
      <c r="K113" s="69">
        <f>IF($J113="",0,IF($J113="Contado",Inicio!$C$26,IF($J113="Tarjeta",Inicio!$C$27,IF($J113="Crédito propio",Inicio!$C$28,0))))</f>
        <v/>
      </c>
      <c r="L113" s="68">
        <f>IFERROR($F113*$I113,"")</f>
        <v/>
      </c>
      <c r="M113" s="68">
        <f>IFERROR($F113*INDEX(Productos!$G$5:$G$124,MATCH($C113,Productos!$A$5:$A$124,0)),"")</f>
        <v/>
      </c>
      <c r="N113" s="68">
        <f>IFERROR($L113*$K113,"")</f>
        <v/>
      </c>
      <c r="O113" s="68">
        <f>IFERROR($L113-$M113,"")</f>
        <v/>
      </c>
      <c r="P113" s="68">
        <f>IFERROR($O113-$N113,"")</f>
        <v/>
      </c>
      <c r="Q113" s="69">
        <f>IFERROR($P113/$L113,"")</f>
        <v/>
      </c>
    </row>
    <row r="114" ht="15" customHeight="1" s="47">
      <c r="A114" s="183" t="n">
        <v>46205</v>
      </c>
      <c r="B114" s="182" t="inlineStr">
        <is>
          <t>T02</t>
        </is>
      </c>
      <c r="C114" s="182" t="inlineStr">
        <is>
          <t>EL-003</t>
        </is>
      </c>
      <c r="D114" s="59">
        <f>IFERROR(INDEX(Productos!$B$5:$B$124,MATCH($C114,Productos!$A$5:$A$124,0)),"")</f>
        <v/>
      </c>
      <c r="E114" s="59">
        <f>IFERROR(INDEX(Productos!$D$5:$D$124,MATCH($C114,Productos!$A$5:$A$124,0)),"")</f>
        <v/>
      </c>
      <c r="F114" s="186" t="n">
        <v>2</v>
      </c>
      <c r="G114" s="68">
        <f>IFERROR(INDEX(Productos!$H$5:$H$124,MATCH($C114,Productos!$A$5:$A$124,0)),"")</f>
        <v/>
      </c>
      <c r="H114" s="185" t="n">
        <v>0.07199999999999999</v>
      </c>
      <c r="I114" s="68">
        <f>IFERROR($G114*(1-$H114),"")</f>
        <v/>
      </c>
      <c r="J114" s="182" t="inlineStr">
        <is>
          <t>Contado</t>
        </is>
      </c>
      <c r="K114" s="69">
        <f>IF($J114="",0,IF($J114="Contado",Inicio!$C$26,IF($J114="Tarjeta",Inicio!$C$27,IF($J114="Crédito propio",Inicio!$C$28,0))))</f>
        <v/>
      </c>
      <c r="L114" s="68">
        <f>IFERROR($F114*$I114,"")</f>
        <v/>
      </c>
      <c r="M114" s="68">
        <f>IFERROR($F114*INDEX(Productos!$G$5:$G$124,MATCH($C114,Productos!$A$5:$A$124,0)),"")</f>
        <v/>
      </c>
      <c r="N114" s="68">
        <f>IFERROR($L114*$K114,"")</f>
        <v/>
      </c>
      <c r="O114" s="68">
        <f>IFERROR($L114-$M114,"")</f>
        <v/>
      </c>
      <c r="P114" s="68">
        <f>IFERROR($O114-$N114,"")</f>
        <v/>
      </c>
      <c r="Q114" s="69">
        <f>IFERROR($P114/$L114,"")</f>
        <v/>
      </c>
    </row>
    <row r="115" ht="15" customHeight="1" s="47">
      <c r="A115" s="183" t="n">
        <v>46205</v>
      </c>
      <c r="B115" s="182" t="inlineStr">
        <is>
          <t>T02</t>
        </is>
      </c>
      <c r="C115" s="182" t="inlineStr">
        <is>
          <t>EL-013</t>
        </is>
      </c>
      <c r="D115" s="59">
        <f>IFERROR(INDEX(Productos!$B$5:$B$124,MATCH($C115,Productos!$A$5:$A$124,0)),"")</f>
        <v/>
      </c>
      <c r="E115" s="59">
        <f>IFERROR(INDEX(Productos!$D$5:$D$124,MATCH($C115,Productos!$A$5:$A$124,0)),"")</f>
        <v/>
      </c>
      <c r="F115" s="186" t="n">
        <v>1</v>
      </c>
      <c r="G115" s="68">
        <f>IFERROR(INDEX(Productos!$H$5:$H$124,MATCH($C115,Productos!$A$5:$A$124,0)),"")</f>
        <v/>
      </c>
      <c r="H115" s="185" t="n">
        <v>0.07000000000000001</v>
      </c>
      <c r="I115" s="68">
        <f>IFERROR($G115*(1-$H115),"")</f>
        <v/>
      </c>
      <c r="J115" s="182" t="inlineStr">
        <is>
          <t>Tarjeta</t>
        </is>
      </c>
      <c r="K115" s="69">
        <f>IF($J115="",0,IF($J115="Contado",Inicio!$C$26,IF($J115="Tarjeta",Inicio!$C$27,IF($J115="Crédito propio",Inicio!$C$28,0))))</f>
        <v/>
      </c>
      <c r="L115" s="68">
        <f>IFERROR($F115*$I115,"")</f>
        <v/>
      </c>
      <c r="M115" s="68">
        <f>IFERROR($F115*INDEX(Productos!$G$5:$G$124,MATCH($C115,Productos!$A$5:$A$124,0)),"")</f>
        <v/>
      </c>
      <c r="N115" s="68">
        <f>IFERROR($L115*$K115,"")</f>
        <v/>
      </c>
      <c r="O115" s="68">
        <f>IFERROR($L115-$M115,"")</f>
        <v/>
      </c>
      <c r="P115" s="68">
        <f>IFERROR($O115-$N115,"")</f>
        <v/>
      </c>
      <c r="Q115" s="69">
        <f>IFERROR($P115/$L115,"")</f>
        <v/>
      </c>
    </row>
    <row r="116" ht="15" customHeight="1" s="47">
      <c r="A116" s="183" t="n">
        <v>46205</v>
      </c>
      <c r="B116" s="182" t="inlineStr">
        <is>
          <t>T02</t>
        </is>
      </c>
      <c r="C116" s="182" t="inlineStr">
        <is>
          <t>EL-017</t>
        </is>
      </c>
      <c r="D116" s="59">
        <f>IFERROR(INDEX(Productos!$B$5:$B$124,MATCH($C116,Productos!$A$5:$A$124,0)),"")</f>
        <v/>
      </c>
      <c r="E116" s="59">
        <f>IFERROR(INDEX(Productos!$D$5:$D$124,MATCH($C116,Productos!$A$5:$A$124,0)),"")</f>
        <v/>
      </c>
      <c r="F116" s="186" t="n">
        <v>1</v>
      </c>
      <c r="G116" s="68">
        <f>IFERROR(INDEX(Productos!$H$5:$H$124,MATCH($C116,Productos!$A$5:$A$124,0)),"")</f>
        <v/>
      </c>
      <c r="H116" s="185" t="n">
        <v>0.03</v>
      </c>
      <c r="I116" s="68">
        <f>IFERROR($G116*(1-$H116),"")</f>
        <v/>
      </c>
      <c r="J116" s="182" t="inlineStr">
        <is>
          <t>Tarjeta</t>
        </is>
      </c>
      <c r="K116" s="69">
        <f>IF($J116="",0,IF($J116="Contado",Inicio!$C$26,IF($J116="Tarjeta",Inicio!$C$27,IF($J116="Crédito propio",Inicio!$C$28,0))))</f>
        <v/>
      </c>
      <c r="L116" s="68">
        <f>IFERROR($F116*$I116,"")</f>
        <v/>
      </c>
      <c r="M116" s="68">
        <f>IFERROR($F116*INDEX(Productos!$G$5:$G$124,MATCH($C116,Productos!$A$5:$A$124,0)),"")</f>
        <v/>
      </c>
      <c r="N116" s="68">
        <f>IFERROR($L116*$K116,"")</f>
        <v/>
      </c>
      <c r="O116" s="68">
        <f>IFERROR($L116-$M116,"")</f>
        <v/>
      </c>
      <c r="P116" s="68">
        <f>IFERROR($O116-$N116,"")</f>
        <v/>
      </c>
      <c r="Q116" s="69">
        <f>IFERROR($P116/$L116,"")</f>
        <v/>
      </c>
    </row>
    <row r="117" ht="15" customHeight="1" s="47">
      <c r="A117" s="183" t="n">
        <v>46205</v>
      </c>
      <c r="B117" s="182" t="inlineStr">
        <is>
          <t>T02</t>
        </is>
      </c>
      <c r="C117" s="182" t="inlineStr">
        <is>
          <t>EL-018</t>
        </is>
      </c>
      <c r="D117" s="59">
        <f>IFERROR(INDEX(Productos!$B$5:$B$124,MATCH($C117,Productos!$A$5:$A$124,0)),"")</f>
        <v/>
      </c>
      <c r="E117" s="59">
        <f>IFERROR(INDEX(Productos!$D$5:$D$124,MATCH($C117,Productos!$A$5:$A$124,0)),"")</f>
        <v/>
      </c>
      <c r="F117" s="186" t="n">
        <v>1</v>
      </c>
      <c r="G117" s="68">
        <f>IFERROR(INDEX(Productos!$H$5:$H$124,MATCH($C117,Productos!$A$5:$A$124,0)),"")</f>
        <v/>
      </c>
      <c r="H117" s="185" t="n">
        <v>0.05</v>
      </c>
      <c r="I117" s="68">
        <f>IFERROR($G117*(1-$H117),"")</f>
        <v/>
      </c>
      <c r="J117" s="182" t="inlineStr">
        <is>
          <t>Contado</t>
        </is>
      </c>
      <c r="K117" s="69">
        <f>IF($J117="",0,IF($J117="Contado",Inicio!$C$26,IF($J117="Tarjeta",Inicio!$C$27,IF($J117="Crédito propio",Inicio!$C$28,0))))</f>
        <v/>
      </c>
      <c r="L117" s="68">
        <f>IFERROR($F117*$I117,"")</f>
        <v/>
      </c>
      <c r="M117" s="68">
        <f>IFERROR($F117*INDEX(Productos!$G$5:$G$124,MATCH($C117,Productos!$A$5:$A$124,0)),"")</f>
        <v/>
      </c>
      <c r="N117" s="68">
        <f>IFERROR($L117*$K117,"")</f>
        <v/>
      </c>
      <c r="O117" s="68">
        <f>IFERROR($L117-$M117,"")</f>
        <v/>
      </c>
      <c r="P117" s="68">
        <f>IFERROR($O117-$N117,"")</f>
        <v/>
      </c>
      <c r="Q117" s="69">
        <f>IFERROR($P117/$L117,"")</f>
        <v/>
      </c>
    </row>
    <row r="118" ht="15" customHeight="1" s="47">
      <c r="A118" s="183" t="n">
        <v>46205</v>
      </c>
      <c r="B118" s="182" t="inlineStr">
        <is>
          <t>T02</t>
        </is>
      </c>
      <c r="C118" s="182" t="inlineStr">
        <is>
          <t>EL-020</t>
        </is>
      </c>
      <c r="D118" s="59">
        <f>IFERROR(INDEX(Productos!$B$5:$B$124,MATCH($C118,Productos!$A$5:$A$124,0)),"")</f>
        <v/>
      </c>
      <c r="E118" s="59">
        <f>IFERROR(INDEX(Productos!$D$5:$D$124,MATCH($C118,Productos!$A$5:$A$124,0)),"")</f>
        <v/>
      </c>
      <c r="F118" s="186" t="n">
        <v>2</v>
      </c>
      <c r="G118" s="68">
        <f>IFERROR(INDEX(Productos!$H$5:$H$124,MATCH($C118,Productos!$A$5:$A$124,0)),"")</f>
        <v/>
      </c>
      <c r="H118" s="185" t="n">
        <v>0.06896551724137934</v>
      </c>
      <c r="I118" s="68">
        <f>IFERROR($G118*(1-$H118),"")</f>
        <v/>
      </c>
      <c r="J118" s="182" t="inlineStr">
        <is>
          <t>Contado</t>
        </is>
      </c>
      <c r="K118" s="69">
        <f>IF($J118="",0,IF($J118="Contado",Inicio!$C$26,IF($J118="Tarjeta",Inicio!$C$27,IF($J118="Crédito propio",Inicio!$C$28,0))))</f>
        <v/>
      </c>
      <c r="L118" s="68">
        <f>IFERROR($F118*$I118,"")</f>
        <v/>
      </c>
      <c r="M118" s="68">
        <f>IFERROR($F118*INDEX(Productos!$G$5:$G$124,MATCH($C118,Productos!$A$5:$A$124,0)),"")</f>
        <v/>
      </c>
      <c r="N118" s="68">
        <f>IFERROR($L118*$K118,"")</f>
        <v/>
      </c>
      <c r="O118" s="68">
        <f>IFERROR($L118-$M118,"")</f>
        <v/>
      </c>
      <c r="P118" s="68">
        <f>IFERROR($O118-$N118,"")</f>
        <v/>
      </c>
      <c r="Q118" s="69">
        <f>IFERROR($P118/$L118,"")</f>
        <v/>
      </c>
    </row>
    <row r="119" ht="15" customHeight="1" s="47">
      <c r="A119" s="183" t="n">
        <v>46205</v>
      </c>
      <c r="B119" s="182" t="inlineStr">
        <is>
          <t>T02</t>
        </is>
      </c>
      <c r="C119" s="182" t="inlineStr">
        <is>
          <t>EL-021</t>
        </is>
      </c>
      <c r="D119" s="59">
        <f>IFERROR(INDEX(Productos!$B$5:$B$124,MATCH($C119,Productos!$A$5:$A$124,0)),"")</f>
        <v/>
      </c>
      <c r="E119" s="59">
        <f>IFERROR(INDEX(Productos!$D$5:$D$124,MATCH($C119,Productos!$A$5:$A$124,0)),"")</f>
        <v/>
      </c>
      <c r="F119" s="186" t="n">
        <v>1</v>
      </c>
      <c r="G119" s="68">
        <f>IFERROR(INDEX(Productos!$H$5:$H$124,MATCH($C119,Productos!$A$5:$A$124,0)),"")</f>
        <v/>
      </c>
      <c r="H119" s="185" t="n">
        <v>0.06766917293233088</v>
      </c>
      <c r="I119" s="68">
        <f>IFERROR($G119*(1-$H119),"")</f>
        <v/>
      </c>
      <c r="J119" s="182" t="inlineStr">
        <is>
          <t>Tarjeta</t>
        </is>
      </c>
      <c r="K119" s="69">
        <f>IF($J119="",0,IF($J119="Contado",Inicio!$C$26,IF($J119="Tarjeta",Inicio!$C$27,IF($J119="Crédito propio",Inicio!$C$28,0))))</f>
        <v/>
      </c>
      <c r="L119" s="68">
        <f>IFERROR($F119*$I119,"")</f>
        <v/>
      </c>
      <c r="M119" s="68">
        <f>IFERROR($F119*INDEX(Productos!$G$5:$G$124,MATCH($C119,Productos!$A$5:$A$124,0)),"")</f>
        <v/>
      </c>
      <c r="N119" s="68">
        <f>IFERROR($L119*$K119,"")</f>
        <v/>
      </c>
      <c r="O119" s="68">
        <f>IFERROR($L119-$M119,"")</f>
        <v/>
      </c>
      <c r="P119" s="68">
        <f>IFERROR($O119-$N119,"")</f>
        <v/>
      </c>
      <c r="Q119" s="69">
        <f>IFERROR($P119/$L119,"")</f>
        <v/>
      </c>
    </row>
    <row r="120" ht="15" customHeight="1" s="47">
      <c r="A120" s="183" t="n">
        <v>46205</v>
      </c>
      <c r="B120" s="182" t="inlineStr">
        <is>
          <t>T02</t>
        </is>
      </c>
      <c r="C120" s="182" t="inlineStr">
        <is>
          <t>EL-024</t>
        </is>
      </c>
      <c r="D120" s="59">
        <f>IFERROR(INDEX(Productos!$B$5:$B$124,MATCH($C120,Productos!$A$5:$A$124,0)),"")</f>
        <v/>
      </c>
      <c r="E120" s="59">
        <f>IFERROR(INDEX(Productos!$D$5:$D$124,MATCH($C120,Productos!$A$5:$A$124,0)),"")</f>
        <v/>
      </c>
      <c r="F120" s="186" t="n">
        <v>1</v>
      </c>
      <c r="G120" s="68">
        <f>IFERROR(INDEX(Productos!$H$5:$H$124,MATCH($C120,Productos!$A$5:$A$124,0)),"")</f>
        <v/>
      </c>
      <c r="H120" s="185" t="n">
        <v>0.05</v>
      </c>
      <c r="I120" s="68">
        <f>IFERROR($G120*(1-$H120),"")</f>
        <v/>
      </c>
      <c r="J120" s="182" t="inlineStr">
        <is>
          <t>Crédito propio</t>
        </is>
      </c>
      <c r="K120" s="69">
        <f>IF($J120="",0,IF($J120="Contado",Inicio!$C$26,IF($J120="Tarjeta",Inicio!$C$27,IF($J120="Crédito propio",Inicio!$C$28,0))))</f>
        <v/>
      </c>
      <c r="L120" s="68">
        <f>IFERROR($F120*$I120,"")</f>
        <v/>
      </c>
      <c r="M120" s="68">
        <f>IFERROR($F120*INDEX(Productos!$G$5:$G$124,MATCH($C120,Productos!$A$5:$A$124,0)),"")</f>
        <v/>
      </c>
      <c r="N120" s="68">
        <f>IFERROR($L120*$K120,"")</f>
        <v/>
      </c>
      <c r="O120" s="68">
        <f>IFERROR($L120-$M120,"")</f>
        <v/>
      </c>
      <c r="P120" s="68">
        <f>IFERROR($O120-$N120,"")</f>
        <v/>
      </c>
      <c r="Q120" s="69">
        <f>IFERROR($P120/$L120,"")</f>
        <v/>
      </c>
    </row>
    <row r="121" ht="15" customHeight="1" s="47">
      <c r="A121" s="183" t="n">
        <v>46205</v>
      </c>
      <c r="B121" s="182" t="inlineStr">
        <is>
          <t>T02</t>
        </is>
      </c>
      <c r="C121" s="182" t="inlineStr">
        <is>
          <t>EL-025</t>
        </is>
      </c>
      <c r="D121" s="59">
        <f>IFERROR(INDEX(Productos!$B$5:$B$124,MATCH($C121,Productos!$A$5:$A$124,0)),"")</f>
        <v/>
      </c>
      <c r="E121" s="59">
        <f>IFERROR(INDEX(Productos!$D$5:$D$124,MATCH($C121,Productos!$A$5:$A$124,0)),"")</f>
        <v/>
      </c>
      <c r="F121" s="186" t="n">
        <v>2</v>
      </c>
      <c r="G121" s="68">
        <f>IFERROR(INDEX(Productos!$H$5:$H$124,MATCH($C121,Productos!$A$5:$A$124,0)),"")</f>
        <v/>
      </c>
      <c r="H121" s="185" t="n">
        <v>0</v>
      </c>
      <c r="I121" s="68">
        <f>IFERROR($G121*(1-$H121),"")</f>
        <v/>
      </c>
      <c r="J121" s="182" t="inlineStr">
        <is>
          <t>Crédito propio</t>
        </is>
      </c>
      <c r="K121" s="69">
        <f>IF($J121="",0,IF($J121="Contado",Inicio!$C$26,IF($J121="Tarjeta",Inicio!$C$27,IF($J121="Crédito propio",Inicio!$C$28,0))))</f>
        <v/>
      </c>
      <c r="L121" s="68">
        <f>IFERROR($F121*$I121,"")</f>
        <v/>
      </c>
      <c r="M121" s="68">
        <f>IFERROR($F121*INDEX(Productos!$G$5:$G$124,MATCH($C121,Productos!$A$5:$A$124,0)),"")</f>
        <v/>
      </c>
      <c r="N121" s="68">
        <f>IFERROR($L121*$K121,"")</f>
        <v/>
      </c>
      <c r="O121" s="68">
        <f>IFERROR($L121-$M121,"")</f>
        <v/>
      </c>
      <c r="P121" s="68">
        <f>IFERROR($O121-$N121,"")</f>
        <v/>
      </c>
      <c r="Q121" s="69">
        <f>IFERROR($P121/$L121,"")</f>
        <v/>
      </c>
    </row>
    <row r="122" ht="15" customHeight="1" s="47">
      <c r="A122" s="183" t="n">
        <v>46205</v>
      </c>
      <c r="B122" s="182" t="inlineStr">
        <is>
          <t>T02</t>
        </is>
      </c>
      <c r="C122" s="182" t="inlineStr">
        <is>
          <t>EL-026</t>
        </is>
      </c>
      <c r="D122" s="59">
        <f>IFERROR(INDEX(Productos!$B$5:$B$124,MATCH($C122,Productos!$A$5:$A$124,0)),"")</f>
        <v/>
      </c>
      <c r="E122" s="59">
        <f>IFERROR(INDEX(Productos!$D$5:$D$124,MATCH($C122,Productos!$A$5:$A$124,0)),"")</f>
        <v/>
      </c>
      <c r="F122" s="186" t="n">
        <v>1</v>
      </c>
      <c r="G122" s="68">
        <f>IFERROR(INDEX(Productos!$H$5:$H$124,MATCH($C122,Productos!$A$5:$A$124,0)),"")</f>
        <v/>
      </c>
      <c r="H122" s="185" t="n">
        <v>0</v>
      </c>
      <c r="I122" s="68">
        <f>IFERROR($G122*(1-$H122),"")</f>
        <v/>
      </c>
      <c r="J122" s="182" t="inlineStr">
        <is>
          <t>Tarjeta</t>
        </is>
      </c>
      <c r="K122" s="69">
        <f>IF($J122="",0,IF($J122="Contado",Inicio!$C$26,IF($J122="Tarjeta",Inicio!$C$27,IF($J122="Crédito propio",Inicio!$C$28,0))))</f>
        <v/>
      </c>
      <c r="L122" s="68">
        <f>IFERROR($F122*$I122,"")</f>
        <v/>
      </c>
      <c r="M122" s="68">
        <f>IFERROR($F122*INDEX(Productos!$G$5:$G$124,MATCH($C122,Productos!$A$5:$A$124,0)),"")</f>
        <v/>
      </c>
      <c r="N122" s="68">
        <f>IFERROR($L122*$K122,"")</f>
        <v/>
      </c>
      <c r="O122" s="68">
        <f>IFERROR($L122-$M122,"")</f>
        <v/>
      </c>
      <c r="P122" s="68">
        <f>IFERROR($O122-$N122,"")</f>
        <v/>
      </c>
      <c r="Q122" s="69">
        <f>IFERROR($P122/$L122,"")</f>
        <v/>
      </c>
    </row>
    <row r="123" ht="15" customHeight="1" s="47">
      <c r="A123" s="183" t="n">
        <v>46205</v>
      </c>
      <c r="B123" s="182" t="inlineStr">
        <is>
          <t>T02</t>
        </is>
      </c>
      <c r="C123" s="182" t="inlineStr">
        <is>
          <t>EL-033</t>
        </is>
      </c>
      <c r="D123" s="59">
        <f>IFERROR(INDEX(Productos!$B$5:$B$124,MATCH($C123,Productos!$A$5:$A$124,0)),"")</f>
        <v/>
      </c>
      <c r="E123" s="59">
        <f>IFERROR(INDEX(Productos!$D$5:$D$124,MATCH($C123,Productos!$A$5:$A$124,0)),"")</f>
        <v/>
      </c>
      <c r="F123" s="186" t="n">
        <v>1</v>
      </c>
      <c r="G123" s="68">
        <f>IFERROR(INDEX(Productos!$H$5:$H$124,MATCH($C123,Productos!$A$5:$A$124,0)),"")</f>
        <v/>
      </c>
      <c r="H123" s="185" t="n">
        <v>0.07112970711297073</v>
      </c>
      <c r="I123" s="68">
        <f>IFERROR($G123*(1-$H123),"")</f>
        <v/>
      </c>
      <c r="J123" s="182" t="inlineStr">
        <is>
          <t>Contado</t>
        </is>
      </c>
      <c r="K123" s="69">
        <f>IF($J123="",0,IF($J123="Contado",Inicio!$C$26,IF($J123="Tarjeta",Inicio!$C$27,IF($J123="Crédito propio",Inicio!$C$28,0))))</f>
        <v/>
      </c>
      <c r="L123" s="68">
        <f>IFERROR($F123*$I123,"")</f>
        <v/>
      </c>
      <c r="M123" s="68">
        <f>IFERROR($F123*INDEX(Productos!$G$5:$G$124,MATCH($C123,Productos!$A$5:$A$124,0)),"")</f>
        <v/>
      </c>
      <c r="N123" s="68">
        <f>IFERROR($L123*$K123,"")</f>
        <v/>
      </c>
      <c r="O123" s="68">
        <f>IFERROR($L123-$M123,"")</f>
        <v/>
      </c>
      <c r="P123" s="68">
        <f>IFERROR($O123-$N123,"")</f>
        <v/>
      </c>
      <c r="Q123" s="69">
        <f>IFERROR($P123/$L123,"")</f>
        <v/>
      </c>
    </row>
    <row r="124" ht="15" customHeight="1" s="47">
      <c r="A124" s="183" t="n">
        <v>46205</v>
      </c>
      <c r="B124" s="182" t="inlineStr">
        <is>
          <t>T02</t>
        </is>
      </c>
      <c r="C124" s="182" t="inlineStr">
        <is>
          <t>EL-036</t>
        </is>
      </c>
      <c r="D124" s="59">
        <f>IFERROR(INDEX(Productos!$B$5:$B$124,MATCH($C124,Productos!$A$5:$A$124,0)),"")</f>
        <v/>
      </c>
      <c r="E124" s="59">
        <f>IFERROR(INDEX(Productos!$D$5:$D$124,MATCH($C124,Productos!$A$5:$A$124,0)),"")</f>
        <v/>
      </c>
      <c r="F124" s="186" t="n">
        <v>1</v>
      </c>
      <c r="G124" s="68">
        <f>IFERROR(INDEX(Productos!$H$5:$H$124,MATCH($C124,Productos!$A$5:$A$124,0)),"")</f>
        <v/>
      </c>
      <c r="H124" s="185" t="n">
        <v>0.063</v>
      </c>
      <c r="I124" s="68">
        <f>IFERROR($G124*(1-$H124),"")</f>
        <v/>
      </c>
      <c r="J124" s="182" t="inlineStr">
        <is>
          <t>Tarjeta</t>
        </is>
      </c>
      <c r="K124" s="69">
        <f>IF($J124="",0,IF($J124="Contado",Inicio!$C$26,IF($J124="Tarjeta",Inicio!$C$27,IF($J124="Crédito propio",Inicio!$C$28,0))))</f>
        <v/>
      </c>
      <c r="L124" s="68">
        <f>IFERROR($F124*$I124,"")</f>
        <v/>
      </c>
      <c r="M124" s="68">
        <f>IFERROR($F124*INDEX(Productos!$G$5:$G$124,MATCH($C124,Productos!$A$5:$A$124,0)),"")</f>
        <v/>
      </c>
      <c r="N124" s="68">
        <f>IFERROR($L124*$K124,"")</f>
        <v/>
      </c>
      <c r="O124" s="68">
        <f>IFERROR($L124-$M124,"")</f>
        <v/>
      </c>
      <c r="P124" s="68">
        <f>IFERROR($O124-$N124,"")</f>
        <v/>
      </c>
      <c r="Q124" s="69">
        <f>IFERROR($P124/$L124,"")</f>
        <v/>
      </c>
    </row>
    <row r="125" ht="15" customHeight="1" s="47">
      <c r="A125" s="183" t="n">
        <v>46205</v>
      </c>
      <c r="B125" s="182" t="inlineStr">
        <is>
          <t>T02</t>
        </is>
      </c>
      <c r="C125" s="182" t="inlineStr">
        <is>
          <t>EL-038</t>
        </is>
      </c>
      <c r="D125" s="59">
        <f>IFERROR(INDEX(Productos!$B$5:$B$124,MATCH($C125,Productos!$A$5:$A$124,0)),"")</f>
        <v/>
      </c>
      <c r="E125" s="59">
        <f>IFERROR(INDEX(Productos!$D$5:$D$124,MATCH($C125,Productos!$A$5:$A$124,0)),"")</f>
        <v/>
      </c>
      <c r="F125" s="186" t="n">
        <v>1</v>
      </c>
      <c r="G125" s="68">
        <f>IFERROR(INDEX(Productos!$H$5:$H$124,MATCH($C125,Productos!$A$5:$A$124,0)),"")</f>
        <v/>
      </c>
      <c r="H125" s="185" t="n">
        <v>0</v>
      </c>
      <c r="I125" s="68">
        <f>IFERROR($G125*(1-$H125),"")</f>
        <v/>
      </c>
      <c r="J125" s="182" t="inlineStr">
        <is>
          <t>Contado</t>
        </is>
      </c>
      <c r="K125" s="69">
        <f>IF($J125="",0,IF($J125="Contado",Inicio!$C$26,IF($J125="Tarjeta",Inicio!$C$27,IF($J125="Crédito propio",Inicio!$C$28,0))))</f>
        <v/>
      </c>
      <c r="L125" s="68">
        <f>IFERROR($F125*$I125,"")</f>
        <v/>
      </c>
      <c r="M125" s="68">
        <f>IFERROR($F125*INDEX(Productos!$G$5:$G$124,MATCH($C125,Productos!$A$5:$A$124,0)),"")</f>
        <v/>
      </c>
      <c r="N125" s="68">
        <f>IFERROR($L125*$K125,"")</f>
        <v/>
      </c>
      <c r="O125" s="68">
        <f>IFERROR($L125-$M125,"")</f>
        <v/>
      </c>
      <c r="P125" s="68">
        <f>IFERROR($O125-$N125,"")</f>
        <v/>
      </c>
      <c r="Q125" s="69">
        <f>IFERROR($P125/$L125,"")</f>
        <v/>
      </c>
    </row>
    <row r="126" ht="15" customHeight="1" s="47">
      <c r="A126" s="183" t="n">
        <v>46205</v>
      </c>
      <c r="B126" s="182" t="inlineStr">
        <is>
          <t>T03</t>
        </is>
      </c>
      <c r="C126" s="182" t="inlineStr">
        <is>
          <t>EL-003</t>
        </is>
      </c>
      <c r="D126" s="59">
        <f>IFERROR(INDEX(Productos!$B$5:$B$124,MATCH($C126,Productos!$A$5:$A$124,0)),"")</f>
        <v/>
      </c>
      <c r="E126" s="59">
        <f>IFERROR(INDEX(Productos!$D$5:$D$124,MATCH($C126,Productos!$A$5:$A$124,0)),"")</f>
        <v/>
      </c>
      <c r="F126" s="186" t="n">
        <v>2</v>
      </c>
      <c r="G126" s="68">
        <f>IFERROR(INDEX(Productos!$H$5:$H$124,MATCH($C126,Productos!$A$5:$A$124,0)),"")</f>
        <v/>
      </c>
      <c r="H126" s="185" t="n">
        <v>0.07199999999999999</v>
      </c>
      <c r="I126" s="68">
        <f>IFERROR($G126*(1-$H126),"")</f>
        <v/>
      </c>
      <c r="J126" s="182" t="inlineStr">
        <is>
          <t>Tarjeta</t>
        </is>
      </c>
      <c r="K126" s="69">
        <f>IF($J126="",0,IF($J126="Contado",Inicio!$C$26,IF($J126="Tarjeta",Inicio!$C$27,IF($J126="Crédito propio",Inicio!$C$28,0))))</f>
        <v/>
      </c>
      <c r="L126" s="68">
        <f>IFERROR($F126*$I126,"")</f>
        <v/>
      </c>
      <c r="M126" s="68">
        <f>IFERROR($F126*INDEX(Productos!$G$5:$G$124,MATCH($C126,Productos!$A$5:$A$124,0)),"")</f>
        <v/>
      </c>
      <c r="N126" s="68">
        <f>IFERROR($L126*$K126,"")</f>
        <v/>
      </c>
      <c r="O126" s="68">
        <f>IFERROR($L126-$M126,"")</f>
        <v/>
      </c>
      <c r="P126" s="68">
        <f>IFERROR($O126-$N126,"")</f>
        <v/>
      </c>
      <c r="Q126" s="69">
        <f>IFERROR($P126/$L126,"")</f>
        <v/>
      </c>
    </row>
    <row r="127" ht="15" customHeight="1" s="47">
      <c r="A127" s="183" t="n">
        <v>46205</v>
      </c>
      <c r="B127" s="182" t="inlineStr">
        <is>
          <t>T03</t>
        </is>
      </c>
      <c r="C127" s="182" t="inlineStr">
        <is>
          <t>EL-006</t>
        </is>
      </c>
      <c r="D127" s="59">
        <f>IFERROR(INDEX(Productos!$B$5:$B$124,MATCH($C127,Productos!$A$5:$A$124,0)),"")</f>
        <v/>
      </c>
      <c r="E127" s="59">
        <f>IFERROR(INDEX(Productos!$D$5:$D$124,MATCH($C127,Productos!$A$5:$A$124,0)),"")</f>
        <v/>
      </c>
      <c r="F127" s="186" t="n">
        <v>1</v>
      </c>
      <c r="G127" s="68">
        <f>IFERROR(INDEX(Productos!$H$5:$H$124,MATCH($C127,Productos!$A$5:$A$124,0)),"")</f>
        <v/>
      </c>
      <c r="H127" s="185" t="n">
        <v>0.03</v>
      </c>
      <c r="I127" s="68">
        <f>IFERROR($G127*(1-$H127),"")</f>
        <v/>
      </c>
      <c r="J127" s="182" t="inlineStr">
        <is>
          <t>Contado</t>
        </is>
      </c>
      <c r="K127" s="69">
        <f>IF($J127="",0,IF($J127="Contado",Inicio!$C$26,IF($J127="Tarjeta",Inicio!$C$27,IF($J127="Crédito propio",Inicio!$C$28,0))))</f>
        <v/>
      </c>
      <c r="L127" s="68">
        <f>IFERROR($F127*$I127,"")</f>
        <v/>
      </c>
      <c r="M127" s="68">
        <f>IFERROR($F127*INDEX(Productos!$G$5:$G$124,MATCH($C127,Productos!$A$5:$A$124,0)),"")</f>
        <v/>
      </c>
      <c r="N127" s="68">
        <f>IFERROR($L127*$K127,"")</f>
        <v/>
      </c>
      <c r="O127" s="68">
        <f>IFERROR($L127-$M127,"")</f>
        <v/>
      </c>
      <c r="P127" s="68">
        <f>IFERROR($O127-$N127,"")</f>
        <v/>
      </c>
      <c r="Q127" s="69">
        <f>IFERROR($P127/$L127,"")</f>
        <v/>
      </c>
    </row>
    <row r="128" ht="15" customHeight="1" s="47">
      <c r="A128" s="183" t="n">
        <v>46205</v>
      </c>
      <c r="B128" s="182" t="inlineStr">
        <is>
          <t>T03</t>
        </is>
      </c>
      <c r="C128" s="182" t="inlineStr">
        <is>
          <t>EL-016</t>
        </is>
      </c>
      <c r="D128" s="59">
        <f>IFERROR(INDEX(Productos!$B$5:$B$124,MATCH($C128,Productos!$A$5:$A$124,0)),"")</f>
        <v/>
      </c>
      <c r="E128" s="59">
        <f>IFERROR(INDEX(Productos!$D$5:$D$124,MATCH($C128,Productos!$A$5:$A$124,0)),"")</f>
        <v/>
      </c>
      <c r="F128" s="186" t="n">
        <v>1</v>
      </c>
      <c r="G128" s="68">
        <f>IFERROR(INDEX(Productos!$H$5:$H$124,MATCH($C128,Productos!$A$5:$A$124,0)),"")</f>
        <v/>
      </c>
      <c r="H128" s="185" t="n">
        <v>0.03</v>
      </c>
      <c r="I128" s="68">
        <f>IFERROR($G128*(1-$H128),"")</f>
        <v/>
      </c>
      <c r="J128" s="182" t="inlineStr">
        <is>
          <t>Crédito propio</t>
        </is>
      </c>
      <c r="K128" s="69">
        <f>IF($J128="",0,IF($J128="Contado",Inicio!$C$26,IF($J128="Tarjeta",Inicio!$C$27,IF($J128="Crédito propio",Inicio!$C$28,0))))</f>
        <v/>
      </c>
      <c r="L128" s="68">
        <f>IFERROR($F128*$I128,"")</f>
        <v/>
      </c>
      <c r="M128" s="68">
        <f>IFERROR($F128*INDEX(Productos!$G$5:$G$124,MATCH($C128,Productos!$A$5:$A$124,0)),"")</f>
        <v/>
      </c>
      <c r="N128" s="68">
        <f>IFERROR($L128*$K128,"")</f>
        <v/>
      </c>
      <c r="O128" s="68">
        <f>IFERROR($L128-$M128,"")</f>
        <v/>
      </c>
      <c r="P128" s="68">
        <f>IFERROR($O128-$N128,"")</f>
        <v/>
      </c>
      <c r="Q128" s="69">
        <f>IFERROR($P128/$L128,"")</f>
        <v/>
      </c>
    </row>
    <row r="129" ht="15" customHeight="1" s="47">
      <c r="A129" s="183" t="n">
        <v>46205</v>
      </c>
      <c r="B129" s="182" t="inlineStr">
        <is>
          <t>T03</t>
        </is>
      </c>
      <c r="C129" s="182" t="inlineStr">
        <is>
          <t>EL-024</t>
        </is>
      </c>
      <c r="D129" s="59">
        <f>IFERROR(INDEX(Productos!$B$5:$B$124,MATCH($C129,Productos!$A$5:$A$124,0)),"")</f>
        <v/>
      </c>
      <c r="E129" s="59">
        <f>IFERROR(INDEX(Productos!$D$5:$D$124,MATCH($C129,Productos!$A$5:$A$124,0)),"")</f>
        <v/>
      </c>
      <c r="F129" s="186" t="n">
        <v>1</v>
      </c>
      <c r="G129" s="68">
        <f>IFERROR(INDEX(Productos!$H$5:$H$124,MATCH($C129,Productos!$A$5:$A$124,0)),"")</f>
        <v/>
      </c>
      <c r="H129" s="185" t="n">
        <v>0.07070707070707072</v>
      </c>
      <c r="I129" s="68">
        <f>IFERROR($G129*(1-$H129),"")</f>
        <v/>
      </c>
      <c r="J129" s="182" t="inlineStr">
        <is>
          <t>Tarjeta</t>
        </is>
      </c>
      <c r="K129" s="69">
        <f>IF($J129="",0,IF($J129="Contado",Inicio!$C$26,IF($J129="Tarjeta",Inicio!$C$27,IF($J129="Crédito propio",Inicio!$C$28,0))))</f>
        <v/>
      </c>
      <c r="L129" s="68">
        <f>IFERROR($F129*$I129,"")</f>
        <v/>
      </c>
      <c r="M129" s="68">
        <f>IFERROR($F129*INDEX(Productos!$G$5:$G$124,MATCH($C129,Productos!$A$5:$A$124,0)),"")</f>
        <v/>
      </c>
      <c r="N129" s="68">
        <f>IFERROR($L129*$K129,"")</f>
        <v/>
      </c>
      <c r="O129" s="68">
        <f>IFERROR($L129-$M129,"")</f>
        <v/>
      </c>
      <c r="P129" s="68">
        <f>IFERROR($O129-$N129,"")</f>
        <v/>
      </c>
      <c r="Q129" s="69">
        <f>IFERROR($P129/$L129,"")</f>
        <v/>
      </c>
    </row>
    <row r="130" ht="15" customHeight="1" s="47">
      <c r="A130" s="183" t="n">
        <v>46205</v>
      </c>
      <c r="B130" s="182" t="inlineStr">
        <is>
          <t>T03</t>
        </is>
      </c>
      <c r="C130" s="182" t="inlineStr">
        <is>
          <t>EL-028</t>
        </is>
      </c>
      <c r="D130" s="59">
        <f>IFERROR(INDEX(Productos!$B$5:$B$124,MATCH($C130,Productos!$A$5:$A$124,0)),"")</f>
        <v/>
      </c>
      <c r="E130" s="59">
        <f>IFERROR(INDEX(Productos!$D$5:$D$124,MATCH($C130,Productos!$A$5:$A$124,0)),"")</f>
        <v/>
      </c>
      <c r="F130" s="186" t="n">
        <v>2</v>
      </c>
      <c r="G130" s="68">
        <f>IFERROR(INDEX(Productos!$H$5:$H$124,MATCH($C130,Productos!$A$5:$A$124,0)),"")</f>
        <v/>
      </c>
      <c r="H130" s="185" t="n">
        <v>0.07692307692307687</v>
      </c>
      <c r="I130" s="68">
        <f>IFERROR($G130*(1-$H130),"")</f>
        <v/>
      </c>
      <c r="J130" s="182" t="inlineStr">
        <is>
          <t>Contado</t>
        </is>
      </c>
      <c r="K130" s="69">
        <f>IF($J130="",0,IF($J130="Contado",Inicio!$C$26,IF($J130="Tarjeta",Inicio!$C$27,IF($J130="Crédito propio",Inicio!$C$28,0))))</f>
        <v/>
      </c>
      <c r="L130" s="68">
        <f>IFERROR($F130*$I130,"")</f>
        <v/>
      </c>
      <c r="M130" s="68">
        <f>IFERROR($F130*INDEX(Productos!$G$5:$G$124,MATCH($C130,Productos!$A$5:$A$124,0)),"")</f>
        <v/>
      </c>
      <c r="N130" s="68">
        <f>IFERROR($L130*$K130,"")</f>
        <v/>
      </c>
      <c r="O130" s="68">
        <f>IFERROR($L130-$M130,"")</f>
        <v/>
      </c>
      <c r="P130" s="68">
        <f>IFERROR($O130-$N130,"")</f>
        <v/>
      </c>
      <c r="Q130" s="69">
        <f>IFERROR($P130/$L130,"")</f>
        <v/>
      </c>
    </row>
    <row r="131" ht="15" customHeight="1" s="47">
      <c r="A131" s="183" t="n">
        <v>46205</v>
      </c>
      <c r="B131" s="182" t="inlineStr">
        <is>
          <t>T03</t>
        </is>
      </c>
      <c r="C131" s="182" t="inlineStr">
        <is>
          <t>EL-036</t>
        </is>
      </c>
      <c r="D131" s="59">
        <f>IFERROR(INDEX(Productos!$B$5:$B$124,MATCH($C131,Productos!$A$5:$A$124,0)),"")</f>
        <v/>
      </c>
      <c r="E131" s="59">
        <f>IFERROR(INDEX(Productos!$D$5:$D$124,MATCH($C131,Productos!$A$5:$A$124,0)),"")</f>
        <v/>
      </c>
      <c r="F131" s="186" t="n">
        <v>1</v>
      </c>
      <c r="G131" s="68">
        <f>IFERROR(INDEX(Productos!$H$5:$H$124,MATCH($C131,Productos!$A$5:$A$124,0)),"")</f>
        <v/>
      </c>
      <c r="H131" s="185" t="n">
        <v>0.063</v>
      </c>
      <c r="I131" s="68">
        <f>IFERROR($G131*(1-$H131),"")</f>
        <v/>
      </c>
      <c r="J131" s="182" t="inlineStr">
        <is>
          <t>Contado</t>
        </is>
      </c>
      <c r="K131" s="69">
        <f>IF($J131="",0,IF($J131="Contado",Inicio!$C$26,IF($J131="Tarjeta",Inicio!$C$27,IF($J131="Crédito propio",Inicio!$C$28,0))))</f>
        <v/>
      </c>
      <c r="L131" s="68">
        <f>IFERROR($F131*$I131,"")</f>
        <v/>
      </c>
      <c r="M131" s="68">
        <f>IFERROR($F131*INDEX(Productos!$G$5:$G$124,MATCH($C131,Productos!$A$5:$A$124,0)),"")</f>
        <v/>
      </c>
      <c r="N131" s="68">
        <f>IFERROR($L131*$K131,"")</f>
        <v/>
      </c>
      <c r="O131" s="68">
        <f>IFERROR($L131-$M131,"")</f>
        <v/>
      </c>
      <c r="P131" s="68">
        <f>IFERROR($O131-$N131,"")</f>
        <v/>
      </c>
      <c r="Q131" s="69">
        <f>IFERROR($P131/$L131,"")</f>
        <v/>
      </c>
    </row>
    <row r="132" ht="15" customHeight="1" s="47">
      <c r="A132" s="183" t="n">
        <v>46205</v>
      </c>
      <c r="B132" s="182" t="inlineStr">
        <is>
          <t>T03</t>
        </is>
      </c>
      <c r="C132" s="182" t="inlineStr">
        <is>
          <t>EL-038</t>
        </is>
      </c>
      <c r="D132" s="59">
        <f>IFERROR(INDEX(Productos!$B$5:$B$124,MATCH($C132,Productos!$A$5:$A$124,0)),"")</f>
        <v/>
      </c>
      <c r="E132" s="59">
        <f>IFERROR(INDEX(Productos!$D$5:$D$124,MATCH($C132,Productos!$A$5:$A$124,0)),"")</f>
        <v/>
      </c>
      <c r="F132" s="186" t="n">
        <v>1</v>
      </c>
      <c r="G132" s="68">
        <f>IFERROR(INDEX(Productos!$H$5:$H$124,MATCH($C132,Productos!$A$5:$A$124,0)),"")</f>
        <v/>
      </c>
      <c r="H132" s="185" t="n">
        <v>0.06837606837606836</v>
      </c>
      <c r="I132" s="68">
        <f>IFERROR($G132*(1-$H132),"")</f>
        <v/>
      </c>
      <c r="J132" s="182" t="inlineStr">
        <is>
          <t>Contado</t>
        </is>
      </c>
      <c r="K132" s="69">
        <f>IF($J132="",0,IF($J132="Contado",Inicio!$C$26,IF($J132="Tarjeta",Inicio!$C$27,IF($J132="Crédito propio",Inicio!$C$28,0))))</f>
        <v/>
      </c>
      <c r="L132" s="68">
        <f>IFERROR($F132*$I132,"")</f>
        <v/>
      </c>
      <c r="M132" s="68">
        <f>IFERROR($F132*INDEX(Productos!$G$5:$G$124,MATCH($C132,Productos!$A$5:$A$124,0)),"")</f>
        <v/>
      </c>
      <c r="N132" s="68">
        <f>IFERROR($L132*$K132,"")</f>
        <v/>
      </c>
      <c r="O132" s="68">
        <f>IFERROR($L132-$M132,"")</f>
        <v/>
      </c>
      <c r="P132" s="68">
        <f>IFERROR($O132-$N132,"")</f>
        <v/>
      </c>
      <c r="Q132" s="69">
        <f>IFERROR($P132/$L132,"")</f>
        <v/>
      </c>
    </row>
    <row r="133" ht="15" customHeight="1" s="47">
      <c r="A133" s="183" t="n">
        <v>46205</v>
      </c>
      <c r="B133" s="182" t="inlineStr">
        <is>
          <t>T03</t>
        </is>
      </c>
      <c r="C133" s="182" t="inlineStr">
        <is>
          <t>EL-044</t>
        </is>
      </c>
      <c r="D133" s="59">
        <f>IFERROR(INDEX(Productos!$B$5:$B$124,MATCH($C133,Productos!$A$5:$A$124,0)),"")</f>
        <v/>
      </c>
      <c r="E133" s="59">
        <f>IFERROR(INDEX(Productos!$D$5:$D$124,MATCH($C133,Productos!$A$5:$A$124,0)),"")</f>
        <v/>
      </c>
      <c r="F133" s="186" t="n">
        <v>1</v>
      </c>
      <c r="G133" s="68">
        <f>IFERROR(INDEX(Productos!$H$5:$H$124,MATCH($C133,Productos!$A$5:$A$124,0)),"")</f>
        <v/>
      </c>
      <c r="H133" s="185" t="n">
        <v>0.06870229007633588</v>
      </c>
      <c r="I133" s="68">
        <f>IFERROR($G133*(1-$H133),"")</f>
        <v/>
      </c>
      <c r="J133" s="182" t="inlineStr">
        <is>
          <t>Crédito propio</t>
        </is>
      </c>
      <c r="K133" s="69">
        <f>IF($J133="",0,IF($J133="Contado",Inicio!$C$26,IF($J133="Tarjeta",Inicio!$C$27,IF($J133="Crédito propio",Inicio!$C$28,0))))</f>
        <v/>
      </c>
      <c r="L133" s="68">
        <f>IFERROR($F133*$I133,"")</f>
        <v/>
      </c>
      <c r="M133" s="68">
        <f>IFERROR($F133*INDEX(Productos!$G$5:$G$124,MATCH($C133,Productos!$A$5:$A$124,0)),"")</f>
        <v/>
      </c>
      <c r="N133" s="68">
        <f>IFERROR($L133*$K133,"")</f>
        <v/>
      </c>
      <c r="O133" s="68">
        <f>IFERROR($L133-$M133,"")</f>
        <v/>
      </c>
      <c r="P133" s="68">
        <f>IFERROR($O133-$N133,"")</f>
        <v/>
      </c>
      <c r="Q133" s="69">
        <f>IFERROR($P133/$L133,"")</f>
        <v/>
      </c>
    </row>
    <row r="134" ht="15" customHeight="1" s="47">
      <c r="A134" s="183" t="n">
        <v>46205</v>
      </c>
      <c r="B134" s="182" t="inlineStr">
        <is>
          <t>T03</t>
        </is>
      </c>
      <c r="C134" s="182" t="inlineStr">
        <is>
          <t>EL-046</t>
        </is>
      </c>
      <c r="D134" s="59">
        <f>IFERROR(INDEX(Productos!$B$5:$B$124,MATCH($C134,Productos!$A$5:$A$124,0)),"")</f>
        <v/>
      </c>
      <c r="E134" s="59">
        <f>IFERROR(INDEX(Productos!$D$5:$D$124,MATCH($C134,Productos!$A$5:$A$124,0)),"")</f>
        <v/>
      </c>
      <c r="F134" s="186" t="n">
        <v>1</v>
      </c>
      <c r="G134" s="68">
        <f>IFERROR(INDEX(Productos!$H$5:$H$124,MATCH($C134,Productos!$A$5:$A$124,0)),"")</f>
        <v/>
      </c>
      <c r="H134" s="185" t="n">
        <v>0</v>
      </c>
      <c r="I134" s="68">
        <f>IFERROR($G134*(1-$H134),"")</f>
        <v/>
      </c>
      <c r="J134" s="182" t="inlineStr">
        <is>
          <t>Contado</t>
        </is>
      </c>
      <c r="K134" s="69">
        <f>IF($J134="",0,IF($J134="Contado",Inicio!$C$26,IF($J134="Tarjeta",Inicio!$C$27,IF($J134="Crédito propio",Inicio!$C$28,0))))</f>
        <v/>
      </c>
      <c r="L134" s="68">
        <f>IFERROR($F134*$I134,"")</f>
        <v/>
      </c>
      <c r="M134" s="68">
        <f>IFERROR($F134*INDEX(Productos!$G$5:$G$124,MATCH($C134,Productos!$A$5:$A$124,0)),"")</f>
        <v/>
      </c>
      <c r="N134" s="68">
        <f>IFERROR($L134*$K134,"")</f>
        <v/>
      </c>
      <c r="O134" s="68">
        <f>IFERROR($L134-$M134,"")</f>
        <v/>
      </c>
      <c r="P134" s="68">
        <f>IFERROR($O134-$N134,"")</f>
        <v/>
      </c>
      <c r="Q134" s="69">
        <f>IFERROR($P134/$L134,"")</f>
        <v/>
      </c>
    </row>
    <row r="135" ht="15" customHeight="1" s="47">
      <c r="A135" s="183" t="n">
        <v>46205</v>
      </c>
      <c r="B135" s="182" t="inlineStr">
        <is>
          <t>T03</t>
        </is>
      </c>
      <c r="C135" s="182" t="inlineStr">
        <is>
          <t>EL-049</t>
        </is>
      </c>
      <c r="D135" s="59">
        <f>IFERROR(INDEX(Productos!$B$5:$B$124,MATCH($C135,Productos!$A$5:$A$124,0)),"")</f>
        <v/>
      </c>
      <c r="E135" s="59">
        <f>IFERROR(INDEX(Productos!$D$5:$D$124,MATCH($C135,Productos!$A$5:$A$124,0)),"")</f>
        <v/>
      </c>
      <c r="F135" s="186" t="n">
        <v>1</v>
      </c>
      <c r="G135" s="68">
        <f>IFERROR(INDEX(Productos!$H$5:$H$124,MATCH($C135,Productos!$A$5:$A$124,0)),"")</f>
        <v/>
      </c>
      <c r="H135" s="185" t="n">
        <v>0.07185628742514971</v>
      </c>
      <c r="I135" s="68">
        <f>IFERROR($G135*(1-$H135),"")</f>
        <v/>
      </c>
      <c r="J135" s="182" t="inlineStr">
        <is>
          <t>Contado</t>
        </is>
      </c>
      <c r="K135" s="69">
        <f>IF($J135="",0,IF($J135="Contado",Inicio!$C$26,IF($J135="Tarjeta",Inicio!$C$27,IF($J135="Crédito propio",Inicio!$C$28,0))))</f>
        <v/>
      </c>
      <c r="L135" s="68">
        <f>IFERROR($F135*$I135,"")</f>
        <v/>
      </c>
      <c r="M135" s="68">
        <f>IFERROR($F135*INDEX(Productos!$G$5:$G$124,MATCH($C135,Productos!$A$5:$A$124,0)),"")</f>
        <v/>
      </c>
      <c r="N135" s="68">
        <f>IFERROR($L135*$K135,"")</f>
        <v/>
      </c>
      <c r="O135" s="68">
        <f>IFERROR($L135-$M135,"")</f>
        <v/>
      </c>
      <c r="P135" s="68">
        <f>IFERROR($O135-$N135,"")</f>
        <v/>
      </c>
      <c r="Q135" s="69">
        <f>IFERROR($P135/$L135,"")</f>
        <v/>
      </c>
    </row>
    <row r="136" ht="15" customHeight="1" s="47">
      <c r="A136" s="183" t="n">
        <v>46205</v>
      </c>
      <c r="B136" s="182" t="inlineStr">
        <is>
          <t>T03</t>
        </is>
      </c>
      <c r="C136" s="182" t="inlineStr">
        <is>
          <t>EL-050</t>
        </is>
      </c>
      <c r="D136" s="59">
        <f>IFERROR(INDEX(Productos!$B$5:$B$124,MATCH($C136,Productos!$A$5:$A$124,0)),"")</f>
        <v/>
      </c>
      <c r="E136" s="59">
        <f>IFERROR(INDEX(Productos!$D$5:$D$124,MATCH($C136,Productos!$A$5:$A$124,0)),"")</f>
        <v/>
      </c>
      <c r="F136" s="186" t="n">
        <v>1</v>
      </c>
      <c r="G136" s="68">
        <f>IFERROR(INDEX(Productos!$H$5:$H$124,MATCH($C136,Productos!$A$5:$A$124,0)),"")</f>
        <v/>
      </c>
      <c r="H136" s="185" t="n">
        <v>0.03</v>
      </c>
      <c r="I136" s="68">
        <f>IFERROR($G136*(1-$H136),"")</f>
        <v/>
      </c>
      <c r="J136" s="182" t="inlineStr">
        <is>
          <t>Tarjeta</t>
        </is>
      </c>
      <c r="K136" s="69">
        <f>IF($J136="",0,IF($J136="Contado",Inicio!$C$26,IF($J136="Tarjeta",Inicio!$C$27,IF($J136="Crédito propio",Inicio!$C$28,0))))</f>
        <v/>
      </c>
      <c r="L136" s="68">
        <f>IFERROR($F136*$I136,"")</f>
        <v/>
      </c>
      <c r="M136" s="68">
        <f>IFERROR($F136*INDEX(Productos!$G$5:$G$124,MATCH($C136,Productos!$A$5:$A$124,0)),"")</f>
        <v/>
      </c>
      <c r="N136" s="68">
        <f>IFERROR($L136*$K136,"")</f>
        <v/>
      </c>
      <c r="O136" s="68">
        <f>IFERROR($L136-$M136,"")</f>
        <v/>
      </c>
      <c r="P136" s="68">
        <f>IFERROR($O136-$N136,"")</f>
        <v/>
      </c>
      <c r="Q136" s="69">
        <f>IFERROR($P136/$L136,"")</f>
        <v/>
      </c>
    </row>
    <row r="137" ht="15" customHeight="1" s="47">
      <c r="A137" s="183" t="n">
        <v>46205</v>
      </c>
      <c r="B137" s="182" t="inlineStr">
        <is>
          <t>T04</t>
        </is>
      </c>
      <c r="C137" s="182" t="inlineStr">
        <is>
          <t>EL-001</t>
        </is>
      </c>
      <c r="D137" s="59">
        <f>IFERROR(INDEX(Productos!$B$5:$B$124,MATCH($C137,Productos!$A$5:$A$124,0)),"")</f>
        <v/>
      </c>
      <c r="E137" s="59">
        <f>IFERROR(INDEX(Productos!$D$5:$D$124,MATCH($C137,Productos!$A$5:$A$124,0)),"")</f>
        <v/>
      </c>
      <c r="F137" s="186" t="n">
        <v>1</v>
      </c>
      <c r="G137" s="68">
        <f>IFERROR(INDEX(Productos!$H$5:$H$124,MATCH($C137,Productos!$A$5:$A$124,0)),"")</f>
        <v/>
      </c>
      <c r="H137" s="185" t="n">
        <v>0</v>
      </c>
      <c r="I137" s="68">
        <f>IFERROR($G137*(1-$H137),"")</f>
        <v/>
      </c>
      <c r="J137" s="182" t="inlineStr">
        <is>
          <t>Tarjeta</t>
        </is>
      </c>
      <c r="K137" s="69">
        <f>IF($J137="",0,IF($J137="Contado",Inicio!$C$26,IF($J137="Tarjeta",Inicio!$C$27,IF($J137="Crédito propio",Inicio!$C$28,0))))</f>
        <v/>
      </c>
      <c r="L137" s="68">
        <f>IFERROR($F137*$I137,"")</f>
        <v/>
      </c>
      <c r="M137" s="68">
        <f>IFERROR($F137*INDEX(Productos!$G$5:$G$124,MATCH($C137,Productos!$A$5:$A$124,0)),"")</f>
        <v/>
      </c>
      <c r="N137" s="68">
        <f>IFERROR($L137*$K137,"")</f>
        <v/>
      </c>
      <c r="O137" s="68">
        <f>IFERROR($L137-$M137,"")</f>
        <v/>
      </c>
      <c r="P137" s="68">
        <f>IFERROR($O137-$N137,"")</f>
        <v/>
      </c>
      <c r="Q137" s="69">
        <f>IFERROR($P137/$L137,"")</f>
        <v/>
      </c>
    </row>
    <row r="138" ht="15" customHeight="1" s="47">
      <c r="A138" s="183" t="n">
        <v>46205</v>
      </c>
      <c r="B138" s="182" t="inlineStr">
        <is>
          <t>T04</t>
        </is>
      </c>
      <c r="C138" s="182" t="inlineStr">
        <is>
          <t>EL-008</t>
        </is>
      </c>
      <c r="D138" s="59">
        <f>IFERROR(INDEX(Productos!$B$5:$B$124,MATCH($C138,Productos!$A$5:$A$124,0)),"")</f>
        <v/>
      </c>
      <c r="E138" s="59">
        <f>IFERROR(INDEX(Productos!$D$5:$D$124,MATCH($C138,Productos!$A$5:$A$124,0)),"")</f>
        <v/>
      </c>
      <c r="F138" s="186" t="n">
        <v>2</v>
      </c>
      <c r="G138" s="68">
        <f>IFERROR(INDEX(Productos!$H$5:$H$124,MATCH($C138,Productos!$A$5:$A$124,0)),"")</f>
        <v/>
      </c>
      <c r="H138" s="185" t="n">
        <v>0.05</v>
      </c>
      <c r="I138" s="68">
        <f>IFERROR($G138*(1-$H138),"")</f>
        <v/>
      </c>
      <c r="J138" s="182" t="inlineStr">
        <is>
          <t>Tarjeta</t>
        </is>
      </c>
      <c r="K138" s="69">
        <f>IF($J138="",0,IF($J138="Contado",Inicio!$C$26,IF($J138="Tarjeta",Inicio!$C$27,IF($J138="Crédito propio",Inicio!$C$28,0))))</f>
        <v/>
      </c>
      <c r="L138" s="68">
        <f>IFERROR($F138*$I138,"")</f>
        <v/>
      </c>
      <c r="M138" s="68">
        <f>IFERROR($F138*INDEX(Productos!$G$5:$G$124,MATCH($C138,Productos!$A$5:$A$124,0)),"")</f>
        <v/>
      </c>
      <c r="N138" s="68">
        <f>IFERROR($L138*$K138,"")</f>
        <v/>
      </c>
      <c r="O138" s="68">
        <f>IFERROR($L138-$M138,"")</f>
        <v/>
      </c>
      <c r="P138" s="68">
        <f>IFERROR($O138-$N138,"")</f>
        <v/>
      </c>
      <c r="Q138" s="69">
        <f>IFERROR($P138/$L138,"")</f>
        <v/>
      </c>
    </row>
    <row r="139" ht="15" customHeight="1" s="47">
      <c r="A139" s="183" t="n">
        <v>46205</v>
      </c>
      <c r="B139" s="182" t="inlineStr">
        <is>
          <t>T04</t>
        </is>
      </c>
      <c r="C139" s="182" t="inlineStr">
        <is>
          <t>EL-025</t>
        </is>
      </c>
      <c r="D139" s="59">
        <f>IFERROR(INDEX(Productos!$B$5:$B$124,MATCH($C139,Productos!$A$5:$A$124,0)),"")</f>
        <v/>
      </c>
      <c r="E139" s="59">
        <f>IFERROR(INDEX(Productos!$D$5:$D$124,MATCH($C139,Productos!$A$5:$A$124,0)),"")</f>
        <v/>
      </c>
      <c r="F139" s="186" t="n">
        <v>1</v>
      </c>
      <c r="G139" s="68">
        <f>IFERROR(INDEX(Productos!$H$5:$H$124,MATCH($C139,Productos!$A$5:$A$124,0)),"")</f>
        <v/>
      </c>
      <c r="H139" s="185" t="n">
        <v>0.07079646017699115</v>
      </c>
      <c r="I139" s="68">
        <f>IFERROR($G139*(1-$H139),"")</f>
        <v/>
      </c>
      <c r="J139" s="182" t="inlineStr">
        <is>
          <t>Crédito propio</t>
        </is>
      </c>
      <c r="K139" s="69">
        <f>IF($J139="",0,IF($J139="Contado",Inicio!$C$26,IF($J139="Tarjeta",Inicio!$C$27,IF($J139="Crédito propio",Inicio!$C$28,0))))</f>
        <v/>
      </c>
      <c r="L139" s="68">
        <f>IFERROR($F139*$I139,"")</f>
        <v/>
      </c>
      <c r="M139" s="68">
        <f>IFERROR($F139*INDEX(Productos!$G$5:$G$124,MATCH($C139,Productos!$A$5:$A$124,0)),"")</f>
        <v/>
      </c>
      <c r="N139" s="68">
        <f>IFERROR($L139*$K139,"")</f>
        <v/>
      </c>
      <c r="O139" s="68">
        <f>IFERROR($L139-$M139,"")</f>
        <v/>
      </c>
      <c r="P139" s="68">
        <f>IFERROR($O139-$N139,"")</f>
        <v/>
      </c>
      <c r="Q139" s="69">
        <f>IFERROR($P139/$L139,"")</f>
        <v/>
      </c>
    </row>
    <row r="140" ht="15" customHeight="1" s="47">
      <c r="A140" s="183" t="n">
        <v>46205</v>
      </c>
      <c r="B140" s="182" t="inlineStr">
        <is>
          <t>T04</t>
        </is>
      </c>
      <c r="C140" s="182" t="inlineStr">
        <is>
          <t>EL-049</t>
        </is>
      </c>
      <c r="D140" s="59">
        <f>IFERROR(INDEX(Productos!$B$5:$B$124,MATCH($C140,Productos!$A$5:$A$124,0)),"")</f>
        <v/>
      </c>
      <c r="E140" s="59">
        <f>IFERROR(INDEX(Productos!$D$5:$D$124,MATCH($C140,Productos!$A$5:$A$124,0)),"")</f>
        <v/>
      </c>
      <c r="F140" s="186" t="n">
        <v>1</v>
      </c>
      <c r="G140" s="68">
        <f>IFERROR(INDEX(Productos!$H$5:$H$124,MATCH($C140,Productos!$A$5:$A$124,0)),"")</f>
        <v/>
      </c>
      <c r="H140" s="185" t="n">
        <v>0.03</v>
      </c>
      <c r="I140" s="68">
        <f>IFERROR($G140*(1-$H140),"")</f>
        <v/>
      </c>
      <c r="J140" s="182" t="inlineStr">
        <is>
          <t>Crédito propio</t>
        </is>
      </c>
      <c r="K140" s="69">
        <f>IF($J140="",0,IF($J140="Contado",Inicio!$C$26,IF($J140="Tarjeta",Inicio!$C$27,IF($J140="Crédito propio",Inicio!$C$28,0))))</f>
        <v/>
      </c>
      <c r="L140" s="68">
        <f>IFERROR($F140*$I140,"")</f>
        <v/>
      </c>
      <c r="M140" s="68">
        <f>IFERROR($F140*INDEX(Productos!$G$5:$G$124,MATCH($C140,Productos!$A$5:$A$124,0)),"")</f>
        <v/>
      </c>
      <c r="N140" s="68">
        <f>IFERROR($L140*$K140,"")</f>
        <v/>
      </c>
      <c r="O140" s="68">
        <f>IFERROR($L140-$M140,"")</f>
        <v/>
      </c>
      <c r="P140" s="68">
        <f>IFERROR($O140-$N140,"")</f>
        <v/>
      </c>
      <c r="Q140" s="69">
        <f>IFERROR($P140/$L140,"")</f>
        <v/>
      </c>
    </row>
    <row r="141" ht="15" customHeight="1" s="47">
      <c r="A141" s="183" t="n">
        <v>46205</v>
      </c>
      <c r="B141" s="182" t="inlineStr">
        <is>
          <t>T05</t>
        </is>
      </c>
      <c r="C141" s="182" t="inlineStr">
        <is>
          <t>EL-006</t>
        </is>
      </c>
      <c r="D141" s="59">
        <f>IFERROR(INDEX(Productos!$B$5:$B$124,MATCH($C141,Productos!$A$5:$A$124,0)),"")</f>
        <v/>
      </c>
      <c r="E141" s="59">
        <f>IFERROR(INDEX(Productos!$D$5:$D$124,MATCH($C141,Productos!$A$5:$A$124,0)),"")</f>
        <v/>
      </c>
      <c r="F141" s="186" t="n">
        <v>1</v>
      </c>
      <c r="G141" s="68">
        <f>IFERROR(INDEX(Productos!$H$5:$H$124,MATCH($C141,Productos!$A$5:$A$124,0)),"")</f>
        <v/>
      </c>
      <c r="H141" s="185" t="n">
        <v>0.05</v>
      </c>
      <c r="I141" s="68">
        <f>IFERROR($G141*(1-$H141),"")</f>
        <v/>
      </c>
      <c r="J141" s="182" t="inlineStr">
        <is>
          <t>Contado</t>
        </is>
      </c>
      <c r="K141" s="69">
        <f>IF($J141="",0,IF($J141="Contado",Inicio!$C$26,IF($J141="Tarjeta",Inicio!$C$27,IF($J141="Crédito propio",Inicio!$C$28,0))))</f>
        <v/>
      </c>
      <c r="L141" s="68">
        <f>IFERROR($F141*$I141,"")</f>
        <v/>
      </c>
      <c r="M141" s="68">
        <f>IFERROR($F141*INDEX(Productos!$G$5:$G$124,MATCH($C141,Productos!$A$5:$A$124,0)),"")</f>
        <v/>
      </c>
      <c r="N141" s="68">
        <f>IFERROR($L141*$K141,"")</f>
        <v/>
      </c>
      <c r="O141" s="68">
        <f>IFERROR($L141-$M141,"")</f>
        <v/>
      </c>
      <c r="P141" s="68">
        <f>IFERROR($O141-$N141,"")</f>
        <v/>
      </c>
      <c r="Q141" s="69">
        <f>IFERROR($P141/$L141,"")</f>
        <v/>
      </c>
    </row>
    <row r="142" ht="15" customHeight="1" s="47">
      <c r="A142" s="183" t="n">
        <v>46205</v>
      </c>
      <c r="B142" s="182" t="inlineStr">
        <is>
          <t>T05</t>
        </is>
      </c>
      <c r="C142" s="182" t="inlineStr">
        <is>
          <t>EL-020</t>
        </is>
      </c>
      <c r="D142" s="59">
        <f>IFERROR(INDEX(Productos!$B$5:$B$124,MATCH($C142,Productos!$A$5:$A$124,0)),"")</f>
        <v/>
      </c>
      <c r="E142" s="59">
        <f>IFERROR(INDEX(Productos!$D$5:$D$124,MATCH($C142,Productos!$A$5:$A$124,0)),"")</f>
        <v/>
      </c>
      <c r="F142" s="186" t="n">
        <v>1</v>
      </c>
      <c r="G142" s="68">
        <f>IFERROR(INDEX(Productos!$H$5:$H$124,MATCH($C142,Productos!$A$5:$A$124,0)),"")</f>
        <v/>
      </c>
      <c r="H142" s="185" t="n">
        <v>0</v>
      </c>
      <c r="I142" s="68">
        <f>IFERROR($G142*(1-$H142),"")</f>
        <v/>
      </c>
      <c r="J142" s="182" t="inlineStr">
        <is>
          <t>Contado</t>
        </is>
      </c>
      <c r="K142" s="69">
        <f>IF($J142="",0,IF($J142="Contado",Inicio!$C$26,IF($J142="Tarjeta",Inicio!$C$27,IF($J142="Crédito propio",Inicio!$C$28,0))))</f>
        <v/>
      </c>
      <c r="L142" s="68">
        <f>IFERROR($F142*$I142,"")</f>
        <v/>
      </c>
      <c r="M142" s="68">
        <f>IFERROR($F142*INDEX(Productos!$G$5:$G$124,MATCH($C142,Productos!$A$5:$A$124,0)),"")</f>
        <v/>
      </c>
      <c r="N142" s="68">
        <f>IFERROR($L142*$K142,"")</f>
        <v/>
      </c>
      <c r="O142" s="68">
        <f>IFERROR($L142-$M142,"")</f>
        <v/>
      </c>
      <c r="P142" s="68">
        <f>IFERROR($O142-$N142,"")</f>
        <v/>
      </c>
      <c r="Q142" s="69">
        <f>IFERROR($P142/$L142,"")</f>
        <v/>
      </c>
    </row>
    <row r="143" ht="15" customHeight="1" s="47">
      <c r="A143" s="183" t="n">
        <v>46205</v>
      </c>
      <c r="B143" s="182" t="inlineStr">
        <is>
          <t>T05</t>
        </is>
      </c>
      <c r="C143" s="182" t="inlineStr">
        <is>
          <t>EL-024</t>
        </is>
      </c>
      <c r="D143" s="59">
        <f>IFERROR(INDEX(Productos!$B$5:$B$124,MATCH($C143,Productos!$A$5:$A$124,0)),"")</f>
        <v/>
      </c>
      <c r="E143" s="59">
        <f>IFERROR(INDEX(Productos!$D$5:$D$124,MATCH($C143,Productos!$A$5:$A$124,0)),"")</f>
        <v/>
      </c>
      <c r="F143" s="186" t="n">
        <v>2</v>
      </c>
      <c r="G143" s="68">
        <f>IFERROR(INDEX(Productos!$H$5:$H$124,MATCH($C143,Productos!$A$5:$A$124,0)),"")</f>
        <v/>
      </c>
      <c r="H143" s="185" t="n">
        <v>0.05</v>
      </c>
      <c r="I143" s="68">
        <f>IFERROR($G143*(1-$H143),"")</f>
        <v/>
      </c>
      <c r="J143" s="182" t="inlineStr">
        <is>
          <t>Tarjeta</t>
        </is>
      </c>
      <c r="K143" s="69">
        <f>IF($J143="",0,IF($J143="Contado",Inicio!$C$26,IF($J143="Tarjeta",Inicio!$C$27,IF($J143="Crédito propio",Inicio!$C$28,0))))</f>
        <v/>
      </c>
      <c r="L143" s="68">
        <f>IFERROR($F143*$I143,"")</f>
        <v/>
      </c>
      <c r="M143" s="68">
        <f>IFERROR($F143*INDEX(Productos!$G$5:$G$124,MATCH($C143,Productos!$A$5:$A$124,0)),"")</f>
        <v/>
      </c>
      <c r="N143" s="68">
        <f>IFERROR($L143*$K143,"")</f>
        <v/>
      </c>
      <c r="O143" s="68">
        <f>IFERROR($L143-$M143,"")</f>
        <v/>
      </c>
      <c r="P143" s="68">
        <f>IFERROR($O143-$N143,"")</f>
        <v/>
      </c>
      <c r="Q143" s="69">
        <f>IFERROR($P143/$L143,"")</f>
        <v/>
      </c>
    </row>
    <row r="144" ht="15" customHeight="1" s="47">
      <c r="A144" s="183" t="n">
        <v>46205</v>
      </c>
      <c r="B144" s="182" t="inlineStr">
        <is>
          <t>T05</t>
        </is>
      </c>
      <c r="C144" s="182" t="inlineStr">
        <is>
          <t>EL-025</t>
        </is>
      </c>
      <c r="D144" s="59">
        <f>IFERROR(INDEX(Productos!$B$5:$B$124,MATCH($C144,Productos!$A$5:$A$124,0)),"")</f>
        <v/>
      </c>
      <c r="E144" s="59">
        <f>IFERROR(INDEX(Productos!$D$5:$D$124,MATCH($C144,Productos!$A$5:$A$124,0)),"")</f>
        <v/>
      </c>
      <c r="F144" s="186" t="n">
        <v>1</v>
      </c>
      <c r="G144" s="68">
        <f>IFERROR(INDEX(Productos!$H$5:$H$124,MATCH($C144,Productos!$A$5:$A$124,0)),"")</f>
        <v/>
      </c>
      <c r="H144" s="185" t="n">
        <v>0.05</v>
      </c>
      <c r="I144" s="68">
        <f>IFERROR($G144*(1-$H144),"")</f>
        <v/>
      </c>
      <c r="J144" s="182" t="inlineStr">
        <is>
          <t>Crédito propio</t>
        </is>
      </c>
      <c r="K144" s="69">
        <f>IF($J144="",0,IF($J144="Contado",Inicio!$C$26,IF($J144="Tarjeta",Inicio!$C$27,IF($J144="Crédito propio",Inicio!$C$28,0))))</f>
        <v/>
      </c>
      <c r="L144" s="68">
        <f>IFERROR($F144*$I144,"")</f>
        <v/>
      </c>
      <c r="M144" s="68">
        <f>IFERROR($F144*INDEX(Productos!$G$5:$G$124,MATCH($C144,Productos!$A$5:$A$124,0)),"")</f>
        <v/>
      </c>
      <c r="N144" s="68">
        <f>IFERROR($L144*$K144,"")</f>
        <v/>
      </c>
      <c r="O144" s="68">
        <f>IFERROR($L144-$M144,"")</f>
        <v/>
      </c>
      <c r="P144" s="68">
        <f>IFERROR($O144-$N144,"")</f>
        <v/>
      </c>
      <c r="Q144" s="69">
        <f>IFERROR($P144/$L144,"")</f>
        <v/>
      </c>
    </row>
    <row r="145" ht="15" customHeight="1" s="47">
      <c r="A145" s="183" t="n">
        <v>46205</v>
      </c>
      <c r="B145" s="182" t="inlineStr">
        <is>
          <t>T05</t>
        </is>
      </c>
      <c r="C145" s="182" t="inlineStr">
        <is>
          <t>EL-026</t>
        </is>
      </c>
      <c r="D145" s="59">
        <f>IFERROR(INDEX(Productos!$B$5:$B$124,MATCH($C145,Productos!$A$5:$A$124,0)),"")</f>
        <v/>
      </c>
      <c r="E145" s="59">
        <f>IFERROR(INDEX(Productos!$D$5:$D$124,MATCH($C145,Productos!$A$5:$A$124,0)),"")</f>
        <v/>
      </c>
      <c r="F145" s="186" t="n">
        <v>1</v>
      </c>
      <c r="G145" s="68">
        <f>IFERROR(INDEX(Productos!$H$5:$H$124,MATCH($C145,Productos!$A$5:$A$124,0)),"")</f>
        <v/>
      </c>
      <c r="H145" s="185" t="n">
        <v>0.05</v>
      </c>
      <c r="I145" s="68">
        <f>IFERROR($G145*(1-$H145),"")</f>
        <v/>
      </c>
      <c r="J145" s="182" t="inlineStr">
        <is>
          <t>Tarjeta</t>
        </is>
      </c>
      <c r="K145" s="69">
        <f>IF($J145="",0,IF($J145="Contado",Inicio!$C$26,IF($J145="Tarjeta",Inicio!$C$27,IF($J145="Crédito propio",Inicio!$C$28,0))))</f>
        <v/>
      </c>
      <c r="L145" s="68">
        <f>IFERROR($F145*$I145,"")</f>
        <v/>
      </c>
      <c r="M145" s="68">
        <f>IFERROR($F145*INDEX(Productos!$G$5:$G$124,MATCH($C145,Productos!$A$5:$A$124,0)),"")</f>
        <v/>
      </c>
      <c r="N145" s="68">
        <f>IFERROR($L145*$K145,"")</f>
        <v/>
      </c>
      <c r="O145" s="68">
        <f>IFERROR($L145-$M145,"")</f>
        <v/>
      </c>
      <c r="P145" s="68">
        <f>IFERROR($O145-$N145,"")</f>
        <v/>
      </c>
      <c r="Q145" s="69">
        <f>IFERROR($P145/$L145,"")</f>
        <v/>
      </c>
    </row>
    <row r="146" ht="15" customHeight="1" s="47">
      <c r="A146" s="183" t="n">
        <v>46205</v>
      </c>
      <c r="B146" s="182" t="inlineStr">
        <is>
          <t>T05</t>
        </is>
      </c>
      <c r="C146" s="182" t="inlineStr">
        <is>
          <t>EL-027</t>
        </is>
      </c>
      <c r="D146" s="59">
        <f>IFERROR(INDEX(Productos!$B$5:$B$124,MATCH($C146,Productos!$A$5:$A$124,0)),"")</f>
        <v/>
      </c>
      <c r="E146" s="59">
        <f>IFERROR(INDEX(Productos!$D$5:$D$124,MATCH($C146,Productos!$A$5:$A$124,0)),"")</f>
        <v/>
      </c>
      <c r="F146" s="186" t="n">
        <v>2</v>
      </c>
      <c r="G146" s="68">
        <f>IFERROR(INDEX(Productos!$H$5:$H$124,MATCH($C146,Productos!$A$5:$A$124,0)),"")</f>
        <v/>
      </c>
      <c r="H146" s="185" t="n">
        <v>0.03</v>
      </c>
      <c r="I146" s="68">
        <f>IFERROR($G146*(1-$H146),"")</f>
        <v/>
      </c>
      <c r="J146" s="182" t="inlineStr">
        <is>
          <t>Contado</t>
        </is>
      </c>
      <c r="K146" s="69">
        <f>IF($J146="",0,IF($J146="Contado",Inicio!$C$26,IF($J146="Tarjeta",Inicio!$C$27,IF($J146="Crédito propio",Inicio!$C$28,0))))</f>
        <v/>
      </c>
      <c r="L146" s="68">
        <f>IFERROR($F146*$I146,"")</f>
        <v/>
      </c>
      <c r="M146" s="68">
        <f>IFERROR($F146*INDEX(Productos!$G$5:$G$124,MATCH($C146,Productos!$A$5:$A$124,0)),"")</f>
        <v/>
      </c>
      <c r="N146" s="68">
        <f>IFERROR($L146*$K146,"")</f>
        <v/>
      </c>
      <c r="O146" s="68">
        <f>IFERROR($L146-$M146,"")</f>
        <v/>
      </c>
      <c r="P146" s="68">
        <f>IFERROR($O146-$N146,"")</f>
        <v/>
      </c>
      <c r="Q146" s="69">
        <f>IFERROR($P146/$L146,"")</f>
        <v/>
      </c>
    </row>
    <row r="147" ht="15" customHeight="1" s="47">
      <c r="A147" s="183" t="n">
        <v>46205</v>
      </c>
      <c r="B147" s="182" t="inlineStr">
        <is>
          <t>T05</t>
        </is>
      </c>
      <c r="C147" s="182" t="inlineStr">
        <is>
          <t>EL-029</t>
        </is>
      </c>
      <c r="D147" s="59">
        <f>IFERROR(INDEX(Productos!$B$5:$B$124,MATCH($C147,Productos!$A$5:$A$124,0)),"")</f>
        <v/>
      </c>
      <c r="E147" s="59">
        <f>IFERROR(INDEX(Productos!$D$5:$D$124,MATCH($C147,Productos!$A$5:$A$124,0)),"")</f>
        <v/>
      </c>
      <c r="F147" s="186" t="n">
        <v>1</v>
      </c>
      <c r="G147" s="68">
        <f>IFERROR(INDEX(Productos!$H$5:$H$124,MATCH($C147,Productos!$A$5:$A$124,0)),"")</f>
        <v/>
      </c>
      <c r="H147" s="185" t="n">
        <v>0.06874999999999998</v>
      </c>
      <c r="I147" s="68">
        <f>IFERROR($G147*(1-$H147),"")</f>
        <v/>
      </c>
      <c r="J147" s="182" t="inlineStr">
        <is>
          <t>Crédito propio</t>
        </is>
      </c>
      <c r="K147" s="69">
        <f>IF($J147="",0,IF($J147="Contado",Inicio!$C$26,IF($J147="Tarjeta",Inicio!$C$27,IF($J147="Crédito propio",Inicio!$C$28,0))))</f>
        <v/>
      </c>
      <c r="L147" s="68">
        <f>IFERROR($F147*$I147,"")</f>
        <v/>
      </c>
      <c r="M147" s="68">
        <f>IFERROR($F147*INDEX(Productos!$G$5:$G$124,MATCH($C147,Productos!$A$5:$A$124,0)),"")</f>
        <v/>
      </c>
      <c r="N147" s="68">
        <f>IFERROR($L147*$K147,"")</f>
        <v/>
      </c>
      <c r="O147" s="68">
        <f>IFERROR($L147-$M147,"")</f>
        <v/>
      </c>
      <c r="P147" s="68">
        <f>IFERROR($O147-$N147,"")</f>
        <v/>
      </c>
      <c r="Q147" s="69">
        <f>IFERROR($P147/$L147,"")</f>
        <v/>
      </c>
    </row>
    <row r="148" ht="15" customHeight="1" s="47">
      <c r="A148" s="183" t="n">
        <v>46205</v>
      </c>
      <c r="B148" s="182" t="inlineStr">
        <is>
          <t>T05</t>
        </is>
      </c>
      <c r="C148" s="182" t="inlineStr">
        <is>
          <t>EL-040</t>
        </is>
      </c>
      <c r="D148" s="59">
        <f>IFERROR(INDEX(Productos!$B$5:$B$124,MATCH($C148,Productos!$A$5:$A$124,0)),"")</f>
        <v/>
      </c>
      <c r="E148" s="59">
        <f>IFERROR(INDEX(Productos!$D$5:$D$124,MATCH($C148,Productos!$A$5:$A$124,0)),"")</f>
        <v/>
      </c>
      <c r="F148" s="186" t="n">
        <v>1</v>
      </c>
      <c r="G148" s="68">
        <f>IFERROR(INDEX(Productos!$H$5:$H$124,MATCH($C148,Productos!$A$5:$A$124,0)),"")</f>
        <v/>
      </c>
      <c r="H148" s="185" t="n">
        <v>0</v>
      </c>
      <c r="I148" s="68">
        <f>IFERROR($G148*(1-$H148),"")</f>
        <v/>
      </c>
      <c r="J148" s="182" t="inlineStr">
        <is>
          <t>Tarjeta</t>
        </is>
      </c>
      <c r="K148" s="69">
        <f>IF($J148="",0,IF($J148="Contado",Inicio!$C$26,IF($J148="Tarjeta",Inicio!$C$27,IF($J148="Crédito propio",Inicio!$C$28,0))))</f>
        <v/>
      </c>
      <c r="L148" s="68">
        <f>IFERROR($F148*$I148,"")</f>
        <v/>
      </c>
      <c r="M148" s="68">
        <f>IFERROR($F148*INDEX(Productos!$G$5:$G$124,MATCH($C148,Productos!$A$5:$A$124,0)),"")</f>
        <v/>
      </c>
      <c r="N148" s="68">
        <f>IFERROR($L148*$K148,"")</f>
        <v/>
      </c>
      <c r="O148" s="68">
        <f>IFERROR($L148-$M148,"")</f>
        <v/>
      </c>
      <c r="P148" s="68">
        <f>IFERROR($O148-$N148,"")</f>
        <v/>
      </c>
      <c r="Q148" s="69">
        <f>IFERROR($P148/$L148,"")</f>
        <v/>
      </c>
    </row>
    <row r="149" ht="15" customHeight="1" s="47">
      <c r="A149" s="183" t="n">
        <v>46205</v>
      </c>
      <c r="B149" s="182" t="inlineStr">
        <is>
          <t>T05</t>
        </is>
      </c>
      <c r="C149" s="182" t="inlineStr">
        <is>
          <t>EL-049</t>
        </is>
      </c>
      <c r="D149" s="59">
        <f>IFERROR(INDEX(Productos!$B$5:$B$124,MATCH($C149,Productos!$A$5:$A$124,0)),"")</f>
        <v/>
      </c>
      <c r="E149" s="59">
        <f>IFERROR(INDEX(Productos!$D$5:$D$124,MATCH($C149,Productos!$A$5:$A$124,0)),"")</f>
        <v/>
      </c>
      <c r="F149" s="186" t="n">
        <v>1</v>
      </c>
      <c r="G149" s="68">
        <f>IFERROR(INDEX(Productos!$H$5:$H$124,MATCH($C149,Productos!$A$5:$A$124,0)),"")</f>
        <v/>
      </c>
      <c r="H149" s="185" t="n">
        <v>0.07185628742514971</v>
      </c>
      <c r="I149" s="68">
        <f>IFERROR($G149*(1-$H149),"")</f>
        <v/>
      </c>
      <c r="J149" s="182" t="inlineStr">
        <is>
          <t>Tarjeta</t>
        </is>
      </c>
      <c r="K149" s="69">
        <f>IF($J149="",0,IF($J149="Contado",Inicio!$C$26,IF($J149="Tarjeta",Inicio!$C$27,IF($J149="Crédito propio",Inicio!$C$28,0))))</f>
        <v/>
      </c>
      <c r="L149" s="68">
        <f>IFERROR($F149*$I149,"")</f>
        <v/>
      </c>
      <c r="M149" s="68">
        <f>IFERROR($F149*INDEX(Productos!$G$5:$G$124,MATCH($C149,Productos!$A$5:$A$124,0)),"")</f>
        <v/>
      </c>
      <c r="N149" s="68">
        <f>IFERROR($L149*$K149,"")</f>
        <v/>
      </c>
      <c r="O149" s="68">
        <f>IFERROR($L149-$M149,"")</f>
        <v/>
      </c>
      <c r="P149" s="68">
        <f>IFERROR($O149-$N149,"")</f>
        <v/>
      </c>
      <c r="Q149" s="69">
        <f>IFERROR($P149/$L149,"")</f>
        <v/>
      </c>
    </row>
    <row r="150" ht="15" customHeight="1" s="47">
      <c r="A150" s="183" t="n">
        <v>46205</v>
      </c>
      <c r="B150" s="182" t="inlineStr">
        <is>
          <t>T05</t>
        </is>
      </c>
      <c r="C150" s="182" t="inlineStr">
        <is>
          <t>EL-050</t>
        </is>
      </c>
      <c r="D150" s="59">
        <f>IFERROR(INDEX(Productos!$B$5:$B$124,MATCH($C150,Productos!$A$5:$A$124,0)),"")</f>
        <v/>
      </c>
      <c r="E150" s="59">
        <f>IFERROR(INDEX(Productos!$D$5:$D$124,MATCH($C150,Productos!$A$5:$A$124,0)),"")</f>
        <v/>
      </c>
      <c r="F150" s="186" t="n">
        <v>1</v>
      </c>
      <c r="G150" s="68">
        <f>IFERROR(INDEX(Productos!$H$5:$H$124,MATCH($C150,Productos!$A$5:$A$124,0)),"")</f>
        <v/>
      </c>
      <c r="H150" s="185" t="n">
        <v>0.03</v>
      </c>
      <c r="I150" s="68">
        <f>IFERROR($G150*(1-$H150),"")</f>
        <v/>
      </c>
      <c r="J150" s="182" t="inlineStr">
        <is>
          <t>Contado</t>
        </is>
      </c>
      <c r="K150" s="69">
        <f>IF($J150="",0,IF($J150="Contado",Inicio!$C$26,IF($J150="Tarjeta",Inicio!$C$27,IF($J150="Crédito propio",Inicio!$C$28,0))))</f>
        <v/>
      </c>
      <c r="L150" s="68">
        <f>IFERROR($F150*$I150,"")</f>
        <v/>
      </c>
      <c r="M150" s="68">
        <f>IFERROR($F150*INDEX(Productos!$G$5:$G$124,MATCH($C150,Productos!$A$5:$A$124,0)),"")</f>
        <v/>
      </c>
      <c r="N150" s="68">
        <f>IFERROR($L150*$K150,"")</f>
        <v/>
      </c>
      <c r="O150" s="68">
        <f>IFERROR($L150-$M150,"")</f>
        <v/>
      </c>
      <c r="P150" s="68">
        <f>IFERROR($O150-$N150,"")</f>
        <v/>
      </c>
      <c r="Q150" s="69">
        <f>IFERROR($P150/$L150,"")</f>
        <v/>
      </c>
    </row>
    <row r="151" ht="15" customHeight="1" s="47">
      <c r="A151" s="183" t="n">
        <v>46205</v>
      </c>
      <c r="B151" s="182" t="inlineStr">
        <is>
          <t>T06</t>
        </is>
      </c>
      <c r="C151" s="182" t="inlineStr">
        <is>
          <t>EL-012</t>
        </is>
      </c>
      <c r="D151" s="59">
        <f>IFERROR(INDEX(Productos!$B$5:$B$124,MATCH($C151,Productos!$A$5:$A$124,0)),"")</f>
        <v/>
      </c>
      <c r="E151" s="59">
        <f>IFERROR(INDEX(Productos!$D$5:$D$124,MATCH($C151,Productos!$A$5:$A$124,0)),"")</f>
        <v/>
      </c>
      <c r="F151" s="186" t="n">
        <v>1</v>
      </c>
      <c r="G151" s="68">
        <f>IFERROR(INDEX(Productos!$H$5:$H$124,MATCH($C151,Productos!$A$5:$A$124,0)),"")</f>
        <v/>
      </c>
      <c r="H151" s="185" t="n">
        <v>0</v>
      </c>
      <c r="I151" s="68">
        <f>IFERROR($G151*(1-$H151),"")</f>
        <v/>
      </c>
      <c r="J151" s="182" t="inlineStr">
        <is>
          <t>Crédito propio</t>
        </is>
      </c>
      <c r="K151" s="69">
        <f>IF($J151="",0,IF($J151="Contado",Inicio!$C$26,IF($J151="Tarjeta",Inicio!$C$27,IF($J151="Crédito propio",Inicio!$C$28,0))))</f>
        <v/>
      </c>
      <c r="L151" s="68">
        <f>IFERROR($F151*$I151,"")</f>
        <v/>
      </c>
      <c r="M151" s="68">
        <f>IFERROR($F151*INDEX(Productos!$G$5:$G$124,MATCH($C151,Productos!$A$5:$A$124,0)),"")</f>
        <v/>
      </c>
      <c r="N151" s="68">
        <f>IFERROR($L151*$K151,"")</f>
        <v/>
      </c>
      <c r="O151" s="68">
        <f>IFERROR($L151-$M151,"")</f>
        <v/>
      </c>
      <c r="P151" s="68">
        <f>IFERROR($O151-$N151,"")</f>
        <v/>
      </c>
      <c r="Q151" s="69">
        <f>IFERROR($P151/$L151,"")</f>
        <v/>
      </c>
    </row>
    <row r="152" ht="15" customHeight="1" s="47">
      <c r="A152" s="183" t="n">
        <v>46205</v>
      </c>
      <c r="B152" s="182" t="inlineStr">
        <is>
          <t>T06</t>
        </is>
      </c>
      <c r="C152" s="182" t="inlineStr">
        <is>
          <t>EL-013</t>
        </is>
      </c>
      <c r="D152" s="59">
        <f>IFERROR(INDEX(Productos!$B$5:$B$124,MATCH($C152,Productos!$A$5:$A$124,0)),"")</f>
        <v/>
      </c>
      <c r="E152" s="59">
        <f>IFERROR(INDEX(Productos!$D$5:$D$124,MATCH($C152,Productos!$A$5:$A$124,0)),"")</f>
        <v/>
      </c>
      <c r="F152" s="186" t="n">
        <v>1</v>
      </c>
      <c r="G152" s="68">
        <f>IFERROR(INDEX(Productos!$H$5:$H$124,MATCH($C152,Productos!$A$5:$A$124,0)),"")</f>
        <v/>
      </c>
      <c r="H152" s="185" t="n">
        <v>0.05</v>
      </c>
      <c r="I152" s="68">
        <f>IFERROR($G152*(1-$H152),"")</f>
        <v/>
      </c>
      <c r="J152" s="182" t="inlineStr">
        <is>
          <t>Tarjeta</t>
        </is>
      </c>
      <c r="K152" s="69">
        <f>IF($J152="",0,IF($J152="Contado",Inicio!$C$26,IF($J152="Tarjeta",Inicio!$C$27,IF($J152="Crédito propio",Inicio!$C$28,0))))</f>
        <v/>
      </c>
      <c r="L152" s="68">
        <f>IFERROR($F152*$I152,"")</f>
        <v/>
      </c>
      <c r="M152" s="68">
        <f>IFERROR($F152*INDEX(Productos!$G$5:$G$124,MATCH($C152,Productos!$A$5:$A$124,0)),"")</f>
        <v/>
      </c>
      <c r="N152" s="68">
        <f>IFERROR($L152*$K152,"")</f>
        <v/>
      </c>
      <c r="O152" s="68">
        <f>IFERROR($L152-$M152,"")</f>
        <v/>
      </c>
      <c r="P152" s="68">
        <f>IFERROR($O152-$N152,"")</f>
        <v/>
      </c>
      <c r="Q152" s="69">
        <f>IFERROR($P152/$L152,"")</f>
        <v/>
      </c>
    </row>
    <row r="153" ht="15" customHeight="1" s="47">
      <c r="A153" s="183" t="n">
        <v>46205</v>
      </c>
      <c r="B153" s="182" t="inlineStr">
        <is>
          <t>T06</t>
        </is>
      </c>
      <c r="C153" s="182" t="inlineStr">
        <is>
          <t>EL-016</t>
        </is>
      </c>
      <c r="D153" s="59">
        <f>IFERROR(INDEX(Productos!$B$5:$B$124,MATCH($C153,Productos!$A$5:$A$124,0)),"")</f>
        <v/>
      </c>
      <c r="E153" s="59">
        <f>IFERROR(INDEX(Productos!$D$5:$D$124,MATCH($C153,Productos!$A$5:$A$124,0)),"")</f>
        <v/>
      </c>
      <c r="F153" s="186" t="n">
        <v>1</v>
      </c>
      <c r="G153" s="68">
        <f>IFERROR(INDEX(Productos!$H$5:$H$124,MATCH($C153,Productos!$A$5:$A$124,0)),"")</f>
        <v/>
      </c>
      <c r="H153" s="185" t="n">
        <v>0.07199999999999995</v>
      </c>
      <c r="I153" s="68">
        <f>IFERROR($G153*(1-$H153),"")</f>
        <v/>
      </c>
      <c r="J153" s="182" t="inlineStr">
        <is>
          <t>Tarjeta</t>
        </is>
      </c>
      <c r="K153" s="69">
        <f>IF($J153="",0,IF($J153="Contado",Inicio!$C$26,IF($J153="Tarjeta",Inicio!$C$27,IF($J153="Crédito propio",Inicio!$C$28,0))))</f>
        <v/>
      </c>
      <c r="L153" s="68">
        <f>IFERROR($F153*$I153,"")</f>
        <v/>
      </c>
      <c r="M153" s="68">
        <f>IFERROR($F153*INDEX(Productos!$G$5:$G$124,MATCH($C153,Productos!$A$5:$A$124,0)),"")</f>
        <v/>
      </c>
      <c r="N153" s="68">
        <f>IFERROR($L153*$K153,"")</f>
        <v/>
      </c>
      <c r="O153" s="68">
        <f>IFERROR($L153-$M153,"")</f>
        <v/>
      </c>
      <c r="P153" s="68">
        <f>IFERROR($O153-$N153,"")</f>
        <v/>
      </c>
      <c r="Q153" s="69">
        <f>IFERROR($P153/$L153,"")</f>
        <v/>
      </c>
    </row>
    <row r="154" ht="15" customHeight="1" s="47">
      <c r="A154" s="183" t="n">
        <v>46205</v>
      </c>
      <c r="B154" s="182" t="inlineStr">
        <is>
          <t>T06</t>
        </is>
      </c>
      <c r="C154" s="182" t="inlineStr">
        <is>
          <t>EL-025</t>
        </is>
      </c>
      <c r="D154" s="59">
        <f>IFERROR(INDEX(Productos!$B$5:$B$124,MATCH($C154,Productos!$A$5:$A$124,0)),"")</f>
        <v/>
      </c>
      <c r="E154" s="59">
        <f>IFERROR(INDEX(Productos!$D$5:$D$124,MATCH($C154,Productos!$A$5:$A$124,0)),"")</f>
        <v/>
      </c>
      <c r="F154" s="186" t="n">
        <v>1</v>
      </c>
      <c r="G154" s="68">
        <f>IFERROR(INDEX(Productos!$H$5:$H$124,MATCH($C154,Productos!$A$5:$A$124,0)),"")</f>
        <v/>
      </c>
      <c r="H154" s="185" t="n">
        <v>0.07079646017699115</v>
      </c>
      <c r="I154" s="68">
        <f>IFERROR($G154*(1-$H154),"")</f>
        <v/>
      </c>
      <c r="J154" s="182" t="inlineStr">
        <is>
          <t>Crédito propio</t>
        </is>
      </c>
      <c r="K154" s="69">
        <f>IF($J154="",0,IF($J154="Contado",Inicio!$C$26,IF($J154="Tarjeta",Inicio!$C$27,IF($J154="Crédito propio",Inicio!$C$28,0))))</f>
        <v/>
      </c>
      <c r="L154" s="68">
        <f>IFERROR($F154*$I154,"")</f>
        <v/>
      </c>
      <c r="M154" s="68">
        <f>IFERROR($F154*INDEX(Productos!$G$5:$G$124,MATCH($C154,Productos!$A$5:$A$124,0)),"")</f>
        <v/>
      </c>
      <c r="N154" s="68">
        <f>IFERROR($L154*$K154,"")</f>
        <v/>
      </c>
      <c r="O154" s="68">
        <f>IFERROR($L154-$M154,"")</f>
        <v/>
      </c>
      <c r="P154" s="68">
        <f>IFERROR($O154-$N154,"")</f>
        <v/>
      </c>
      <c r="Q154" s="69">
        <f>IFERROR($P154/$L154,"")</f>
        <v/>
      </c>
    </row>
    <row r="155" ht="15" customHeight="1" s="47">
      <c r="A155" s="183" t="n">
        <v>46205</v>
      </c>
      <c r="B155" s="182" t="inlineStr">
        <is>
          <t>T06</t>
        </is>
      </c>
      <c r="C155" s="182" t="inlineStr">
        <is>
          <t>EL-026</t>
        </is>
      </c>
      <c r="D155" s="59">
        <f>IFERROR(INDEX(Productos!$B$5:$B$124,MATCH($C155,Productos!$A$5:$A$124,0)),"")</f>
        <v/>
      </c>
      <c r="E155" s="59">
        <f>IFERROR(INDEX(Productos!$D$5:$D$124,MATCH($C155,Productos!$A$5:$A$124,0)),"")</f>
        <v/>
      </c>
      <c r="F155" s="186" t="n">
        <v>1</v>
      </c>
      <c r="G155" s="68">
        <f>IFERROR(INDEX(Productos!$H$5:$H$124,MATCH($C155,Productos!$A$5:$A$124,0)),"")</f>
        <v/>
      </c>
      <c r="H155" s="185" t="n">
        <v>0</v>
      </c>
      <c r="I155" s="68">
        <f>IFERROR($G155*(1-$H155),"")</f>
        <v/>
      </c>
      <c r="J155" s="182" t="inlineStr">
        <is>
          <t>Contado</t>
        </is>
      </c>
      <c r="K155" s="69">
        <f>IF($J155="",0,IF($J155="Contado",Inicio!$C$26,IF($J155="Tarjeta",Inicio!$C$27,IF($J155="Crédito propio",Inicio!$C$28,0))))</f>
        <v/>
      </c>
      <c r="L155" s="68">
        <f>IFERROR($F155*$I155,"")</f>
        <v/>
      </c>
      <c r="M155" s="68">
        <f>IFERROR($F155*INDEX(Productos!$G$5:$G$124,MATCH($C155,Productos!$A$5:$A$124,0)),"")</f>
        <v/>
      </c>
      <c r="N155" s="68">
        <f>IFERROR($L155*$K155,"")</f>
        <v/>
      </c>
      <c r="O155" s="68">
        <f>IFERROR($L155-$M155,"")</f>
        <v/>
      </c>
      <c r="P155" s="68">
        <f>IFERROR($O155-$N155,"")</f>
        <v/>
      </c>
      <c r="Q155" s="69">
        <f>IFERROR($P155/$L155,"")</f>
        <v/>
      </c>
    </row>
    <row r="156" ht="15" customHeight="1" s="47">
      <c r="A156" s="183" t="n">
        <v>46206</v>
      </c>
      <c r="B156" s="182" t="inlineStr">
        <is>
          <t>T01</t>
        </is>
      </c>
      <c r="C156" s="182" t="inlineStr">
        <is>
          <t>EL-002</t>
        </is>
      </c>
      <c r="D156" s="59">
        <f>IFERROR(INDEX(Productos!$B$5:$B$124,MATCH($C156,Productos!$A$5:$A$124,0)),"")</f>
        <v/>
      </c>
      <c r="E156" s="59">
        <f>IFERROR(INDEX(Productos!$D$5:$D$124,MATCH($C156,Productos!$A$5:$A$124,0)),"")</f>
        <v/>
      </c>
      <c r="F156" s="186" t="n">
        <v>1</v>
      </c>
      <c r="G156" s="68">
        <f>IFERROR(INDEX(Productos!$H$5:$H$124,MATCH($C156,Productos!$A$5:$A$124,0)),"")</f>
        <v/>
      </c>
      <c r="H156" s="185" t="n">
        <v>0</v>
      </c>
      <c r="I156" s="68">
        <f>IFERROR($G156*(1-$H156),"")</f>
        <v/>
      </c>
      <c r="J156" s="182" t="inlineStr">
        <is>
          <t>Crédito propio</t>
        </is>
      </c>
      <c r="K156" s="69">
        <f>IF($J156="",0,IF($J156="Contado",Inicio!$C$26,IF($J156="Tarjeta",Inicio!$C$27,IF($J156="Crédito propio",Inicio!$C$28,0))))</f>
        <v/>
      </c>
      <c r="L156" s="68">
        <f>IFERROR($F156*$I156,"")</f>
        <v/>
      </c>
      <c r="M156" s="68">
        <f>IFERROR($F156*INDEX(Productos!$G$5:$G$124,MATCH($C156,Productos!$A$5:$A$124,0)),"")</f>
        <v/>
      </c>
      <c r="N156" s="68">
        <f>IFERROR($L156*$K156,"")</f>
        <v/>
      </c>
      <c r="O156" s="68">
        <f>IFERROR($L156-$M156,"")</f>
        <v/>
      </c>
      <c r="P156" s="68">
        <f>IFERROR($O156-$N156,"")</f>
        <v/>
      </c>
      <c r="Q156" s="69">
        <f>IFERROR($P156/$L156,"")</f>
        <v/>
      </c>
    </row>
    <row r="157" ht="15" customHeight="1" s="47">
      <c r="A157" s="183" t="n">
        <v>46206</v>
      </c>
      <c r="B157" s="182" t="inlineStr">
        <is>
          <t>T01</t>
        </is>
      </c>
      <c r="C157" s="182" t="inlineStr">
        <is>
          <t>EL-006</t>
        </is>
      </c>
      <c r="D157" s="59">
        <f>IFERROR(INDEX(Productos!$B$5:$B$124,MATCH($C157,Productos!$A$5:$A$124,0)),"")</f>
        <v/>
      </c>
      <c r="E157" s="59">
        <f>IFERROR(INDEX(Productos!$D$5:$D$124,MATCH($C157,Productos!$A$5:$A$124,0)),"")</f>
        <v/>
      </c>
      <c r="F157" s="186" t="n">
        <v>2</v>
      </c>
      <c r="G157" s="68">
        <f>IFERROR(INDEX(Productos!$H$5:$H$124,MATCH($C157,Productos!$A$5:$A$124,0)),"")</f>
        <v/>
      </c>
      <c r="H157" s="185" t="n">
        <v>0.0703125</v>
      </c>
      <c r="I157" s="68">
        <f>IFERROR($G157*(1-$H157),"")</f>
        <v/>
      </c>
      <c r="J157" s="182" t="inlineStr">
        <is>
          <t>Crédito propio</t>
        </is>
      </c>
      <c r="K157" s="69">
        <f>IF($J157="",0,IF($J157="Contado",Inicio!$C$26,IF($J157="Tarjeta",Inicio!$C$27,IF($J157="Crédito propio",Inicio!$C$28,0))))</f>
        <v/>
      </c>
      <c r="L157" s="68">
        <f>IFERROR($F157*$I157,"")</f>
        <v/>
      </c>
      <c r="M157" s="68">
        <f>IFERROR($F157*INDEX(Productos!$G$5:$G$124,MATCH($C157,Productos!$A$5:$A$124,0)),"")</f>
        <v/>
      </c>
      <c r="N157" s="68">
        <f>IFERROR($L157*$K157,"")</f>
        <v/>
      </c>
      <c r="O157" s="68">
        <f>IFERROR($L157-$M157,"")</f>
        <v/>
      </c>
      <c r="P157" s="68">
        <f>IFERROR($O157-$N157,"")</f>
        <v/>
      </c>
      <c r="Q157" s="69">
        <f>IFERROR($P157/$L157,"")</f>
        <v/>
      </c>
    </row>
    <row r="158" ht="15" customHeight="1" s="47">
      <c r="A158" s="183" t="n">
        <v>46206</v>
      </c>
      <c r="B158" s="182" t="inlineStr">
        <is>
          <t>T01</t>
        </is>
      </c>
      <c r="C158" s="182" t="inlineStr">
        <is>
          <t>EL-009</t>
        </is>
      </c>
      <c r="D158" s="59">
        <f>IFERROR(INDEX(Productos!$B$5:$B$124,MATCH($C158,Productos!$A$5:$A$124,0)),"")</f>
        <v/>
      </c>
      <c r="E158" s="59">
        <f>IFERROR(INDEX(Productos!$D$5:$D$124,MATCH($C158,Productos!$A$5:$A$124,0)),"")</f>
        <v/>
      </c>
      <c r="F158" s="186" t="n">
        <v>1</v>
      </c>
      <c r="G158" s="68">
        <f>IFERROR(INDEX(Productos!$H$5:$H$124,MATCH($C158,Productos!$A$5:$A$124,0)),"")</f>
        <v/>
      </c>
      <c r="H158" s="185" t="n">
        <v>0.06741573033707871</v>
      </c>
      <c r="I158" s="68">
        <f>IFERROR($G158*(1-$H158),"")</f>
        <v/>
      </c>
      <c r="J158" s="182" t="inlineStr">
        <is>
          <t>Contado</t>
        </is>
      </c>
      <c r="K158" s="69">
        <f>IF($J158="",0,IF($J158="Contado",Inicio!$C$26,IF($J158="Tarjeta",Inicio!$C$27,IF($J158="Crédito propio",Inicio!$C$28,0))))</f>
        <v/>
      </c>
      <c r="L158" s="68">
        <f>IFERROR($F158*$I158,"")</f>
        <v/>
      </c>
      <c r="M158" s="68">
        <f>IFERROR($F158*INDEX(Productos!$G$5:$G$124,MATCH($C158,Productos!$A$5:$A$124,0)),"")</f>
        <v/>
      </c>
      <c r="N158" s="68">
        <f>IFERROR($L158*$K158,"")</f>
        <v/>
      </c>
      <c r="O158" s="68">
        <f>IFERROR($L158-$M158,"")</f>
        <v/>
      </c>
      <c r="P158" s="68">
        <f>IFERROR($O158-$N158,"")</f>
        <v/>
      </c>
      <c r="Q158" s="69">
        <f>IFERROR($P158/$L158,"")</f>
        <v/>
      </c>
    </row>
    <row r="159" ht="15" customHeight="1" s="47">
      <c r="A159" s="183" t="n">
        <v>46206</v>
      </c>
      <c r="B159" s="182" t="inlineStr">
        <is>
          <t>T01</t>
        </is>
      </c>
      <c r="C159" s="182" t="inlineStr">
        <is>
          <t>EL-010</t>
        </is>
      </c>
      <c r="D159" s="59">
        <f>IFERROR(INDEX(Productos!$B$5:$B$124,MATCH($C159,Productos!$A$5:$A$124,0)),"")</f>
        <v/>
      </c>
      <c r="E159" s="59">
        <f>IFERROR(INDEX(Productos!$D$5:$D$124,MATCH($C159,Productos!$A$5:$A$124,0)),"")</f>
        <v/>
      </c>
      <c r="F159" s="186" t="n">
        <v>2</v>
      </c>
      <c r="G159" s="68">
        <f>IFERROR(INDEX(Productos!$H$5:$H$124,MATCH($C159,Productos!$A$5:$A$124,0)),"")</f>
        <v/>
      </c>
      <c r="H159" s="185" t="n">
        <v>0.06926406926406925</v>
      </c>
      <c r="I159" s="68">
        <f>IFERROR($G159*(1-$H159),"")</f>
        <v/>
      </c>
      <c r="J159" s="182" t="inlineStr">
        <is>
          <t>Contado</t>
        </is>
      </c>
      <c r="K159" s="69">
        <f>IF($J159="",0,IF($J159="Contado",Inicio!$C$26,IF($J159="Tarjeta",Inicio!$C$27,IF($J159="Crédito propio",Inicio!$C$28,0))))</f>
        <v/>
      </c>
      <c r="L159" s="68">
        <f>IFERROR($F159*$I159,"")</f>
        <v/>
      </c>
      <c r="M159" s="68">
        <f>IFERROR($F159*INDEX(Productos!$G$5:$G$124,MATCH($C159,Productos!$A$5:$A$124,0)),"")</f>
        <v/>
      </c>
      <c r="N159" s="68">
        <f>IFERROR($L159*$K159,"")</f>
        <v/>
      </c>
      <c r="O159" s="68">
        <f>IFERROR($L159-$M159,"")</f>
        <v/>
      </c>
      <c r="P159" s="68">
        <f>IFERROR($O159-$N159,"")</f>
        <v/>
      </c>
      <c r="Q159" s="69">
        <f>IFERROR($P159/$L159,"")</f>
        <v/>
      </c>
    </row>
    <row r="160" ht="15" customHeight="1" s="47">
      <c r="A160" s="183" t="n">
        <v>46206</v>
      </c>
      <c r="B160" s="182" t="inlineStr">
        <is>
          <t>T01</t>
        </is>
      </c>
      <c r="C160" s="182" t="inlineStr">
        <is>
          <t>EL-016</t>
        </is>
      </c>
      <c r="D160" s="59">
        <f>IFERROR(INDEX(Productos!$B$5:$B$124,MATCH($C160,Productos!$A$5:$A$124,0)),"")</f>
        <v/>
      </c>
      <c r="E160" s="59">
        <f>IFERROR(INDEX(Productos!$D$5:$D$124,MATCH($C160,Productos!$A$5:$A$124,0)),"")</f>
        <v/>
      </c>
      <c r="F160" s="186" t="n">
        <v>1</v>
      </c>
      <c r="G160" s="68">
        <f>IFERROR(INDEX(Productos!$H$5:$H$124,MATCH($C160,Productos!$A$5:$A$124,0)),"")</f>
        <v/>
      </c>
      <c r="H160" s="185" t="n">
        <v>0.05</v>
      </c>
      <c r="I160" s="68">
        <f>IFERROR($G160*(1-$H160),"")</f>
        <v/>
      </c>
      <c r="J160" s="182" t="inlineStr">
        <is>
          <t>Contado</t>
        </is>
      </c>
      <c r="K160" s="69">
        <f>IF($J160="",0,IF($J160="Contado",Inicio!$C$26,IF($J160="Tarjeta",Inicio!$C$27,IF($J160="Crédito propio",Inicio!$C$28,0))))</f>
        <v/>
      </c>
      <c r="L160" s="68">
        <f>IFERROR($F160*$I160,"")</f>
        <v/>
      </c>
      <c r="M160" s="68">
        <f>IFERROR($F160*INDEX(Productos!$G$5:$G$124,MATCH($C160,Productos!$A$5:$A$124,0)),"")</f>
        <v/>
      </c>
      <c r="N160" s="68">
        <f>IFERROR($L160*$K160,"")</f>
        <v/>
      </c>
      <c r="O160" s="68">
        <f>IFERROR($L160-$M160,"")</f>
        <v/>
      </c>
      <c r="P160" s="68">
        <f>IFERROR($O160-$N160,"")</f>
        <v/>
      </c>
      <c r="Q160" s="69">
        <f>IFERROR($P160/$L160,"")</f>
        <v/>
      </c>
    </row>
    <row r="161" ht="15" customHeight="1" s="47">
      <c r="A161" s="183" t="n">
        <v>46206</v>
      </c>
      <c r="B161" s="182" t="inlineStr">
        <is>
          <t>T01</t>
        </is>
      </c>
      <c r="C161" s="182" t="inlineStr">
        <is>
          <t>EL-018</t>
        </is>
      </c>
      <c r="D161" s="59">
        <f>IFERROR(INDEX(Productos!$B$5:$B$124,MATCH($C161,Productos!$A$5:$A$124,0)),"")</f>
        <v/>
      </c>
      <c r="E161" s="59">
        <f>IFERROR(INDEX(Productos!$D$5:$D$124,MATCH($C161,Productos!$A$5:$A$124,0)),"")</f>
        <v/>
      </c>
      <c r="F161" s="186" t="n">
        <v>1</v>
      </c>
      <c r="G161" s="68">
        <f>IFERROR(INDEX(Productos!$H$5:$H$124,MATCH($C161,Productos!$A$5:$A$124,0)),"")</f>
        <v/>
      </c>
      <c r="H161" s="185" t="n">
        <v>0.03</v>
      </c>
      <c r="I161" s="68">
        <f>IFERROR($G161*(1-$H161),"")</f>
        <v/>
      </c>
      <c r="J161" s="182" t="inlineStr">
        <is>
          <t>Contado</t>
        </is>
      </c>
      <c r="K161" s="69">
        <f>IF($J161="",0,IF($J161="Contado",Inicio!$C$26,IF($J161="Tarjeta",Inicio!$C$27,IF($J161="Crédito propio",Inicio!$C$28,0))))</f>
        <v/>
      </c>
      <c r="L161" s="68">
        <f>IFERROR($F161*$I161,"")</f>
        <v/>
      </c>
      <c r="M161" s="68">
        <f>IFERROR($F161*INDEX(Productos!$G$5:$G$124,MATCH($C161,Productos!$A$5:$A$124,0)),"")</f>
        <v/>
      </c>
      <c r="N161" s="68">
        <f>IFERROR($L161*$K161,"")</f>
        <v/>
      </c>
      <c r="O161" s="68">
        <f>IFERROR($L161-$M161,"")</f>
        <v/>
      </c>
      <c r="P161" s="68">
        <f>IFERROR($O161-$N161,"")</f>
        <v/>
      </c>
      <c r="Q161" s="69">
        <f>IFERROR($P161/$L161,"")</f>
        <v/>
      </c>
    </row>
    <row r="162" ht="15" customHeight="1" s="47">
      <c r="A162" s="183" t="n">
        <v>46206</v>
      </c>
      <c r="B162" s="182" t="inlineStr">
        <is>
          <t>T01</t>
        </is>
      </c>
      <c r="C162" s="182" t="inlineStr">
        <is>
          <t>EL-019</t>
        </is>
      </c>
      <c r="D162" s="59">
        <f>IFERROR(INDEX(Productos!$B$5:$B$124,MATCH($C162,Productos!$A$5:$A$124,0)),"")</f>
        <v/>
      </c>
      <c r="E162" s="59">
        <f>IFERROR(INDEX(Productos!$D$5:$D$124,MATCH($C162,Productos!$A$5:$A$124,0)),"")</f>
        <v/>
      </c>
      <c r="F162" s="186" t="n">
        <v>2</v>
      </c>
      <c r="G162" s="68">
        <f>IFERROR(INDEX(Productos!$H$5:$H$124,MATCH($C162,Productos!$A$5:$A$124,0)),"")</f>
        <v/>
      </c>
      <c r="H162" s="185" t="n">
        <v>0</v>
      </c>
      <c r="I162" s="68">
        <f>IFERROR($G162*(1-$H162),"")</f>
        <v/>
      </c>
      <c r="J162" s="182" t="inlineStr">
        <is>
          <t>Tarjeta</t>
        </is>
      </c>
      <c r="K162" s="69">
        <f>IF($J162="",0,IF($J162="Contado",Inicio!$C$26,IF($J162="Tarjeta",Inicio!$C$27,IF($J162="Crédito propio",Inicio!$C$28,0))))</f>
        <v/>
      </c>
      <c r="L162" s="68">
        <f>IFERROR($F162*$I162,"")</f>
        <v/>
      </c>
      <c r="M162" s="68">
        <f>IFERROR($F162*INDEX(Productos!$G$5:$G$124,MATCH($C162,Productos!$A$5:$A$124,0)),"")</f>
        <v/>
      </c>
      <c r="N162" s="68">
        <f>IFERROR($L162*$K162,"")</f>
        <v/>
      </c>
      <c r="O162" s="68">
        <f>IFERROR($L162-$M162,"")</f>
        <v/>
      </c>
      <c r="P162" s="68">
        <f>IFERROR($O162-$N162,"")</f>
        <v/>
      </c>
      <c r="Q162" s="69">
        <f>IFERROR($P162/$L162,"")</f>
        <v/>
      </c>
    </row>
    <row r="163" ht="15" customHeight="1" s="47">
      <c r="A163" s="183" t="n">
        <v>46206</v>
      </c>
      <c r="B163" s="182" t="inlineStr">
        <is>
          <t>T01</t>
        </is>
      </c>
      <c r="C163" s="182" t="inlineStr">
        <is>
          <t>EL-020</t>
        </is>
      </c>
      <c r="D163" s="59">
        <f>IFERROR(INDEX(Productos!$B$5:$B$124,MATCH($C163,Productos!$A$5:$A$124,0)),"")</f>
        <v/>
      </c>
      <c r="E163" s="59">
        <f>IFERROR(INDEX(Productos!$D$5:$D$124,MATCH($C163,Productos!$A$5:$A$124,0)),"")</f>
        <v/>
      </c>
      <c r="F163" s="186" t="n">
        <v>1</v>
      </c>
      <c r="G163" s="68">
        <f>IFERROR(INDEX(Productos!$H$5:$H$124,MATCH($C163,Productos!$A$5:$A$124,0)),"")</f>
        <v/>
      </c>
      <c r="H163" s="185" t="n">
        <v>0.06896551724137934</v>
      </c>
      <c r="I163" s="68">
        <f>IFERROR($G163*(1-$H163),"")</f>
        <v/>
      </c>
      <c r="J163" s="182" t="inlineStr">
        <is>
          <t>Crédito propio</t>
        </is>
      </c>
      <c r="K163" s="69">
        <f>IF($J163="",0,IF($J163="Contado",Inicio!$C$26,IF($J163="Tarjeta",Inicio!$C$27,IF($J163="Crédito propio",Inicio!$C$28,0))))</f>
        <v/>
      </c>
      <c r="L163" s="68">
        <f>IFERROR($F163*$I163,"")</f>
        <v/>
      </c>
      <c r="M163" s="68">
        <f>IFERROR($F163*INDEX(Productos!$G$5:$G$124,MATCH($C163,Productos!$A$5:$A$124,0)),"")</f>
        <v/>
      </c>
      <c r="N163" s="68">
        <f>IFERROR($L163*$K163,"")</f>
        <v/>
      </c>
      <c r="O163" s="68">
        <f>IFERROR($L163-$M163,"")</f>
        <v/>
      </c>
      <c r="P163" s="68">
        <f>IFERROR($O163-$N163,"")</f>
        <v/>
      </c>
      <c r="Q163" s="69">
        <f>IFERROR($P163/$L163,"")</f>
        <v/>
      </c>
    </row>
    <row r="164" ht="15" customHeight="1" s="47">
      <c r="A164" s="183" t="n">
        <v>46206</v>
      </c>
      <c r="B164" s="182" t="inlineStr">
        <is>
          <t>T01</t>
        </is>
      </c>
      <c r="C164" s="182" t="inlineStr">
        <is>
          <t>EL-021</t>
        </is>
      </c>
      <c r="D164" s="59">
        <f>IFERROR(INDEX(Productos!$B$5:$B$124,MATCH($C164,Productos!$A$5:$A$124,0)),"")</f>
        <v/>
      </c>
      <c r="E164" s="59">
        <f>IFERROR(INDEX(Productos!$D$5:$D$124,MATCH($C164,Productos!$A$5:$A$124,0)),"")</f>
        <v/>
      </c>
      <c r="F164" s="186" t="n">
        <v>1</v>
      </c>
      <c r="G164" s="68">
        <f>IFERROR(INDEX(Productos!$H$5:$H$124,MATCH($C164,Productos!$A$5:$A$124,0)),"")</f>
        <v/>
      </c>
      <c r="H164" s="185" t="n">
        <v>0</v>
      </c>
      <c r="I164" s="68">
        <f>IFERROR($G164*(1-$H164),"")</f>
        <v/>
      </c>
      <c r="J164" s="182" t="inlineStr">
        <is>
          <t>Crédito propio</t>
        </is>
      </c>
      <c r="K164" s="69">
        <f>IF($J164="",0,IF($J164="Contado",Inicio!$C$26,IF($J164="Tarjeta",Inicio!$C$27,IF($J164="Crédito propio",Inicio!$C$28,0))))</f>
        <v/>
      </c>
      <c r="L164" s="68">
        <f>IFERROR($F164*$I164,"")</f>
        <v/>
      </c>
      <c r="M164" s="68">
        <f>IFERROR($F164*INDEX(Productos!$G$5:$G$124,MATCH($C164,Productos!$A$5:$A$124,0)),"")</f>
        <v/>
      </c>
      <c r="N164" s="68">
        <f>IFERROR($L164*$K164,"")</f>
        <v/>
      </c>
      <c r="O164" s="68">
        <f>IFERROR($L164-$M164,"")</f>
        <v/>
      </c>
      <c r="P164" s="68">
        <f>IFERROR($O164-$N164,"")</f>
        <v/>
      </c>
      <c r="Q164" s="69">
        <f>IFERROR($P164/$L164,"")</f>
        <v/>
      </c>
    </row>
    <row r="165" ht="15" customHeight="1" s="47">
      <c r="A165" s="183" t="n">
        <v>46206</v>
      </c>
      <c r="B165" s="182" t="inlineStr">
        <is>
          <t>T01</t>
        </is>
      </c>
      <c r="C165" s="182" t="inlineStr">
        <is>
          <t>EL-022</t>
        </is>
      </c>
      <c r="D165" s="59">
        <f>IFERROR(INDEX(Productos!$B$5:$B$124,MATCH($C165,Productos!$A$5:$A$124,0)),"")</f>
        <v/>
      </c>
      <c r="E165" s="59">
        <f>IFERROR(INDEX(Productos!$D$5:$D$124,MATCH($C165,Productos!$A$5:$A$124,0)),"")</f>
        <v/>
      </c>
      <c r="F165" s="186" t="n">
        <v>1</v>
      </c>
      <c r="G165" s="68">
        <f>IFERROR(INDEX(Productos!$H$5:$H$124,MATCH($C165,Productos!$A$5:$A$124,0)),"")</f>
        <v/>
      </c>
      <c r="H165" s="185" t="n">
        <v>0</v>
      </c>
      <c r="I165" s="68">
        <f>IFERROR($G165*(1-$H165),"")</f>
        <v/>
      </c>
      <c r="J165" s="182" t="inlineStr">
        <is>
          <t>Crédito propio</t>
        </is>
      </c>
      <c r="K165" s="69">
        <f>IF($J165="",0,IF($J165="Contado",Inicio!$C$26,IF($J165="Tarjeta",Inicio!$C$27,IF($J165="Crédito propio",Inicio!$C$28,0))))</f>
        <v/>
      </c>
      <c r="L165" s="68">
        <f>IFERROR($F165*$I165,"")</f>
        <v/>
      </c>
      <c r="M165" s="68">
        <f>IFERROR($F165*INDEX(Productos!$G$5:$G$124,MATCH($C165,Productos!$A$5:$A$124,0)),"")</f>
        <v/>
      </c>
      <c r="N165" s="68">
        <f>IFERROR($L165*$K165,"")</f>
        <v/>
      </c>
      <c r="O165" s="68">
        <f>IFERROR($L165-$M165,"")</f>
        <v/>
      </c>
      <c r="P165" s="68">
        <f>IFERROR($O165-$N165,"")</f>
        <v/>
      </c>
      <c r="Q165" s="69">
        <f>IFERROR($P165/$L165,"")</f>
        <v/>
      </c>
    </row>
    <row r="166" ht="15" customHeight="1" s="47">
      <c r="A166" s="183" t="n">
        <v>46206</v>
      </c>
      <c r="B166" s="182" t="inlineStr">
        <is>
          <t>T01</t>
        </is>
      </c>
      <c r="C166" s="182" t="inlineStr">
        <is>
          <t>EL-024</t>
        </is>
      </c>
      <c r="D166" s="59">
        <f>IFERROR(INDEX(Productos!$B$5:$B$124,MATCH($C166,Productos!$A$5:$A$124,0)),"")</f>
        <v/>
      </c>
      <c r="E166" s="59">
        <f>IFERROR(INDEX(Productos!$D$5:$D$124,MATCH($C166,Productos!$A$5:$A$124,0)),"")</f>
        <v/>
      </c>
      <c r="F166" s="186" t="n">
        <v>1</v>
      </c>
      <c r="G166" s="68">
        <f>IFERROR(INDEX(Productos!$H$5:$H$124,MATCH($C166,Productos!$A$5:$A$124,0)),"")</f>
        <v/>
      </c>
      <c r="H166" s="185" t="n">
        <v>0</v>
      </c>
      <c r="I166" s="68">
        <f>IFERROR($G166*(1-$H166),"")</f>
        <v/>
      </c>
      <c r="J166" s="182" t="inlineStr">
        <is>
          <t>Tarjeta</t>
        </is>
      </c>
      <c r="K166" s="69">
        <f>IF($J166="",0,IF($J166="Contado",Inicio!$C$26,IF($J166="Tarjeta",Inicio!$C$27,IF($J166="Crédito propio",Inicio!$C$28,0))))</f>
        <v/>
      </c>
      <c r="L166" s="68">
        <f>IFERROR($F166*$I166,"")</f>
        <v/>
      </c>
      <c r="M166" s="68">
        <f>IFERROR($F166*INDEX(Productos!$G$5:$G$124,MATCH($C166,Productos!$A$5:$A$124,0)),"")</f>
        <v/>
      </c>
      <c r="N166" s="68">
        <f>IFERROR($L166*$K166,"")</f>
        <v/>
      </c>
      <c r="O166" s="68">
        <f>IFERROR($L166-$M166,"")</f>
        <v/>
      </c>
      <c r="P166" s="68">
        <f>IFERROR($O166-$N166,"")</f>
        <v/>
      </c>
      <c r="Q166" s="69">
        <f>IFERROR($P166/$L166,"")</f>
        <v/>
      </c>
    </row>
    <row r="167" ht="15" customHeight="1" s="47">
      <c r="A167" s="183" t="n">
        <v>46206</v>
      </c>
      <c r="B167" s="182" t="inlineStr">
        <is>
          <t>T01</t>
        </is>
      </c>
      <c r="C167" s="182" t="inlineStr">
        <is>
          <t>EL-025</t>
        </is>
      </c>
      <c r="D167" s="59">
        <f>IFERROR(INDEX(Productos!$B$5:$B$124,MATCH($C167,Productos!$A$5:$A$124,0)),"")</f>
        <v/>
      </c>
      <c r="E167" s="59">
        <f>IFERROR(INDEX(Productos!$D$5:$D$124,MATCH($C167,Productos!$A$5:$A$124,0)),"")</f>
        <v/>
      </c>
      <c r="F167" s="186" t="n">
        <v>1</v>
      </c>
      <c r="G167" s="68">
        <f>IFERROR(INDEX(Productos!$H$5:$H$124,MATCH($C167,Productos!$A$5:$A$124,0)),"")</f>
        <v/>
      </c>
      <c r="H167" s="185" t="n">
        <v>0</v>
      </c>
      <c r="I167" s="68">
        <f>IFERROR($G167*(1-$H167),"")</f>
        <v/>
      </c>
      <c r="J167" s="182" t="inlineStr">
        <is>
          <t>Tarjeta</t>
        </is>
      </c>
      <c r="K167" s="69">
        <f>IF($J167="",0,IF($J167="Contado",Inicio!$C$26,IF($J167="Tarjeta",Inicio!$C$27,IF($J167="Crédito propio",Inicio!$C$28,0))))</f>
        <v/>
      </c>
      <c r="L167" s="68">
        <f>IFERROR($F167*$I167,"")</f>
        <v/>
      </c>
      <c r="M167" s="68">
        <f>IFERROR($F167*INDEX(Productos!$G$5:$G$124,MATCH($C167,Productos!$A$5:$A$124,0)),"")</f>
        <v/>
      </c>
      <c r="N167" s="68">
        <f>IFERROR($L167*$K167,"")</f>
        <v/>
      </c>
      <c r="O167" s="68">
        <f>IFERROR($L167-$M167,"")</f>
        <v/>
      </c>
      <c r="P167" s="68">
        <f>IFERROR($O167-$N167,"")</f>
        <v/>
      </c>
      <c r="Q167" s="69">
        <f>IFERROR($P167/$L167,"")</f>
        <v/>
      </c>
    </row>
    <row r="168" ht="15" customHeight="1" s="47">
      <c r="A168" s="183" t="n">
        <v>46206</v>
      </c>
      <c r="B168" s="182" t="inlineStr">
        <is>
          <t>T01</t>
        </is>
      </c>
      <c r="C168" s="182" t="inlineStr">
        <is>
          <t>EL-028</t>
        </is>
      </c>
      <c r="D168" s="59">
        <f>IFERROR(INDEX(Productos!$B$5:$B$124,MATCH($C168,Productos!$A$5:$A$124,0)),"")</f>
        <v/>
      </c>
      <c r="E168" s="59">
        <f>IFERROR(INDEX(Productos!$D$5:$D$124,MATCH($C168,Productos!$A$5:$A$124,0)),"")</f>
        <v/>
      </c>
      <c r="F168" s="186" t="n">
        <v>2</v>
      </c>
      <c r="G168" s="68">
        <f>IFERROR(INDEX(Productos!$H$5:$H$124,MATCH($C168,Productos!$A$5:$A$124,0)),"")</f>
        <v/>
      </c>
      <c r="H168" s="185" t="n">
        <v>0</v>
      </c>
      <c r="I168" s="68">
        <f>IFERROR($G168*(1-$H168),"")</f>
        <v/>
      </c>
      <c r="J168" s="182" t="inlineStr">
        <is>
          <t>Tarjeta</t>
        </is>
      </c>
      <c r="K168" s="69">
        <f>IF($J168="",0,IF($J168="Contado",Inicio!$C$26,IF($J168="Tarjeta",Inicio!$C$27,IF($J168="Crédito propio",Inicio!$C$28,0))))</f>
        <v/>
      </c>
      <c r="L168" s="68">
        <f>IFERROR($F168*$I168,"")</f>
        <v/>
      </c>
      <c r="M168" s="68">
        <f>IFERROR($F168*INDEX(Productos!$G$5:$G$124,MATCH($C168,Productos!$A$5:$A$124,0)),"")</f>
        <v/>
      </c>
      <c r="N168" s="68">
        <f>IFERROR($L168*$K168,"")</f>
        <v/>
      </c>
      <c r="O168" s="68">
        <f>IFERROR($L168-$M168,"")</f>
        <v/>
      </c>
      <c r="P168" s="68">
        <f>IFERROR($O168-$N168,"")</f>
        <v/>
      </c>
      <c r="Q168" s="69">
        <f>IFERROR($P168/$L168,"")</f>
        <v/>
      </c>
    </row>
    <row r="169" ht="15" customHeight="1" s="47">
      <c r="A169" s="183" t="n">
        <v>46206</v>
      </c>
      <c r="B169" s="182" t="inlineStr">
        <is>
          <t>T01</t>
        </is>
      </c>
      <c r="C169" s="182" t="inlineStr">
        <is>
          <t>EL-029</t>
        </is>
      </c>
      <c r="D169" s="59">
        <f>IFERROR(INDEX(Productos!$B$5:$B$124,MATCH($C169,Productos!$A$5:$A$124,0)),"")</f>
        <v/>
      </c>
      <c r="E169" s="59">
        <f>IFERROR(INDEX(Productos!$D$5:$D$124,MATCH($C169,Productos!$A$5:$A$124,0)),"")</f>
        <v/>
      </c>
      <c r="F169" s="186" t="n">
        <v>1</v>
      </c>
      <c r="G169" s="68">
        <f>IFERROR(INDEX(Productos!$H$5:$H$124,MATCH($C169,Productos!$A$5:$A$124,0)),"")</f>
        <v/>
      </c>
      <c r="H169" s="185" t="n">
        <v>0.03</v>
      </c>
      <c r="I169" s="68">
        <f>IFERROR($G169*(1-$H169),"")</f>
        <v/>
      </c>
      <c r="J169" s="182" t="inlineStr">
        <is>
          <t>Contado</t>
        </is>
      </c>
      <c r="K169" s="69">
        <f>IF($J169="",0,IF($J169="Contado",Inicio!$C$26,IF($J169="Tarjeta",Inicio!$C$27,IF($J169="Crédito propio",Inicio!$C$28,0))))</f>
        <v/>
      </c>
      <c r="L169" s="68">
        <f>IFERROR($F169*$I169,"")</f>
        <v/>
      </c>
      <c r="M169" s="68">
        <f>IFERROR($F169*INDEX(Productos!$G$5:$G$124,MATCH($C169,Productos!$A$5:$A$124,0)),"")</f>
        <v/>
      </c>
      <c r="N169" s="68">
        <f>IFERROR($L169*$K169,"")</f>
        <v/>
      </c>
      <c r="O169" s="68">
        <f>IFERROR($L169-$M169,"")</f>
        <v/>
      </c>
      <c r="P169" s="68">
        <f>IFERROR($O169-$N169,"")</f>
        <v/>
      </c>
      <c r="Q169" s="69">
        <f>IFERROR($P169/$L169,"")</f>
        <v/>
      </c>
    </row>
    <row r="170" ht="15" customHeight="1" s="47">
      <c r="A170" s="183" t="n">
        <v>46206</v>
      </c>
      <c r="B170" s="182" t="inlineStr">
        <is>
          <t>T01</t>
        </is>
      </c>
      <c r="C170" s="182" t="inlineStr">
        <is>
          <t>EL-031</t>
        </is>
      </c>
      <c r="D170" s="59">
        <f>IFERROR(INDEX(Productos!$B$5:$B$124,MATCH($C170,Productos!$A$5:$A$124,0)),"")</f>
        <v/>
      </c>
      <c r="E170" s="59">
        <f>IFERROR(INDEX(Productos!$D$5:$D$124,MATCH($C170,Productos!$A$5:$A$124,0)),"")</f>
        <v/>
      </c>
      <c r="F170" s="186" t="n">
        <v>1</v>
      </c>
      <c r="G170" s="68">
        <f>IFERROR(INDEX(Productos!$H$5:$H$124,MATCH($C170,Productos!$A$5:$A$124,0)),"")</f>
        <v/>
      </c>
      <c r="H170" s="185" t="n">
        <v>0.06756756756756754</v>
      </c>
      <c r="I170" s="68">
        <f>IFERROR($G170*(1-$H170),"")</f>
        <v/>
      </c>
      <c r="J170" s="182" t="inlineStr">
        <is>
          <t>Tarjeta</t>
        </is>
      </c>
      <c r="K170" s="69">
        <f>IF($J170="",0,IF($J170="Contado",Inicio!$C$26,IF($J170="Tarjeta",Inicio!$C$27,IF($J170="Crédito propio",Inicio!$C$28,0))))</f>
        <v/>
      </c>
      <c r="L170" s="68">
        <f>IFERROR($F170*$I170,"")</f>
        <v/>
      </c>
      <c r="M170" s="68">
        <f>IFERROR($F170*INDEX(Productos!$G$5:$G$124,MATCH($C170,Productos!$A$5:$A$124,0)),"")</f>
        <v/>
      </c>
      <c r="N170" s="68">
        <f>IFERROR($L170*$K170,"")</f>
        <v/>
      </c>
      <c r="O170" s="68">
        <f>IFERROR($L170-$M170,"")</f>
        <v/>
      </c>
      <c r="P170" s="68">
        <f>IFERROR($O170-$N170,"")</f>
        <v/>
      </c>
      <c r="Q170" s="69">
        <f>IFERROR($P170/$L170,"")</f>
        <v/>
      </c>
    </row>
    <row r="171" ht="15" customHeight="1" s="47">
      <c r="A171" s="183" t="n">
        <v>46206</v>
      </c>
      <c r="B171" s="182" t="inlineStr">
        <is>
          <t>T01</t>
        </is>
      </c>
      <c r="C171" s="182" t="inlineStr">
        <is>
          <t>EL-038</t>
        </is>
      </c>
      <c r="D171" s="59">
        <f>IFERROR(INDEX(Productos!$B$5:$B$124,MATCH($C171,Productos!$A$5:$A$124,0)),"")</f>
        <v/>
      </c>
      <c r="E171" s="59">
        <f>IFERROR(INDEX(Productos!$D$5:$D$124,MATCH($C171,Productos!$A$5:$A$124,0)),"")</f>
        <v/>
      </c>
      <c r="F171" s="186" t="n">
        <v>1</v>
      </c>
      <c r="G171" s="68">
        <f>IFERROR(INDEX(Productos!$H$5:$H$124,MATCH($C171,Productos!$A$5:$A$124,0)),"")</f>
        <v/>
      </c>
      <c r="H171" s="185" t="n">
        <v>0.068</v>
      </c>
      <c r="I171" s="68">
        <f>IFERROR($G171*(1-$H171),"")</f>
        <v/>
      </c>
      <c r="J171" s="182" t="inlineStr">
        <is>
          <t>Tarjeta</t>
        </is>
      </c>
      <c r="K171" s="69">
        <f>IF($J171="",0,IF($J171="Contado",Inicio!$C$26,IF($J171="Tarjeta",Inicio!$C$27,IF($J171="Crédito propio",Inicio!$C$28,0))))</f>
        <v/>
      </c>
      <c r="L171" s="68">
        <f>IFERROR($F171*$I171,"")</f>
        <v/>
      </c>
      <c r="M171" s="68">
        <f>IFERROR($F171*INDEX(Productos!$G$5:$G$124,MATCH($C171,Productos!$A$5:$A$124,0)),"")</f>
        <v/>
      </c>
      <c r="N171" s="68">
        <f>IFERROR($L171*$K171,"")</f>
        <v/>
      </c>
      <c r="O171" s="68">
        <f>IFERROR($L171-$M171,"")</f>
        <v/>
      </c>
      <c r="P171" s="68">
        <f>IFERROR($O171-$N171,"")</f>
        <v/>
      </c>
      <c r="Q171" s="69">
        <f>IFERROR($P171/$L171,"")</f>
        <v/>
      </c>
    </row>
    <row r="172" ht="15" customHeight="1" s="47">
      <c r="A172" s="183" t="n">
        <v>46206</v>
      </c>
      <c r="B172" s="182" t="inlineStr">
        <is>
          <t>T01</t>
        </is>
      </c>
      <c r="C172" s="182" t="inlineStr">
        <is>
          <t>EL-039</t>
        </is>
      </c>
      <c r="D172" s="59">
        <f>IFERROR(INDEX(Productos!$B$5:$B$124,MATCH($C172,Productos!$A$5:$A$124,0)),"")</f>
        <v/>
      </c>
      <c r="E172" s="59">
        <f>IFERROR(INDEX(Productos!$D$5:$D$124,MATCH($C172,Productos!$A$5:$A$124,0)),"")</f>
        <v/>
      </c>
      <c r="F172" s="186" t="n">
        <v>1</v>
      </c>
      <c r="G172" s="68">
        <f>IFERROR(INDEX(Productos!$H$5:$H$124,MATCH($C172,Productos!$A$5:$A$124,0)),"")</f>
        <v/>
      </c>
      <c r="H172" s="185" t="n">
        <v>0.05</v>
      </c>
      <c r="I172" s="68">
        <f>IFERROR($G172*(1-$H172),"")</f>
        <v/>
      </c>
      <c r="J172" s="182" t="inlineStr">
        <is>
          <t>Contado</t>
        </is>
      </c>
      <c r="K172" s="69">
        <f>IF($J172="",0,IF($J172="Contado",Inicio!$C$26,IF($J172="Tarjeta",Inicio!$C$27,IF($J172="Crédito propio",Inicio!$C$28,0))))</f>
        <v/>
      </c>
      <c r="L172" s="68">
        <f>IFERROR($F172*$I172,"")</f>
        <v/>
      </c>
      <c r="M172" s="68">
        <f>IFERROR($F172*INDEX(Productos!$G$5:$G$124,MATCH($C172,Productos!$A$5:$A$124,0)),"")</f>
        <v/>
      </c>
      <c r="N172" s="68">
        <f>IFERROR($L172*$K172,"")</f>
        <v/>
      </c>
      <c r="O172" s="68">
        <f>IFERROR($L172-$M172,"")</f>
        <v/>
      </c>
      <c r="P172" s="68">
        <f>IFERROR($O172-$N172,"")</f>
        <v/>
      </c>
      <c r="Q172" s="69">
        <f>IFERROR($P172/$L172,"")</f>
        <v/>
      </c>
    </row>
    <row r="173" ht="15" customHeight="1" s="47">
      <c r="A173" s="183" t="n">
        <v>46206</v>
      </c>
      <c r="B173" s="182" t="inlineStr">
        <is>
          <t>T01</t>
        </is>
      </c>
      <c r="C173" s="182" t="inlineStr">
        <is>
          <t>EL-041</t>
        </is>
      </c>
      <c r="D173" s="59">
        <f>IFERROR(INDEX(Productos!$B$5:$B$124,MATCH($C173,Productos!$A$5:$A$124,0)),"")</f>
        <v/>
      </c>
      <c r="E173" s="59">
        <f>IFERROR(INDEX(Productos!$D$5:$D$124,MATCH($C173,Productos!$A$5:$A$124,0)),"")</f>
        <v/>
      </c>
      <c r="F173" s="186" t="n">
        <v>2</v>
      </c>
      <c r="G173" s="68">
        <f>IFERROR(INDEX(Productos!$H$5:$H$124,MATCH($C173,Productos!$A$5:$A$124,0)),"")</f>
        <v/>
      </c>
      <c r="H173" s="185" t="n">
        <v>0</v>
      </c>
      <c r="I173" s="68">
        <f>IFERROR($G173*(1-$H173),"")</f>
        <v/>
      </c>
      <c r="J173" s="182" t="inlineStr">
        <is>
          <t>Contado</t>
        </is>
      </c>
      <c r="K173" s="69">
        <f>IF($J173="",0,IF($J173="Contado",Inicio!$C$26,IF($J173="Tarjeta",Inicio!$C$27,IF($J173="Crédito propio",Inicio!$C$28,0))))</f>
        <v/>
      </c>
      <c r="L173" s="68">
        <f>IFERROR($F173*$I173,"")</f>
        <v/>
      </c>
      <c r="M173" s="68">
        <f>IFERROR($F173*INDEX(Productos!$G$5:$G$124,MATCH($C173,Productos!$A$5:$A$124,0)),"")</f>
        <v/>
      </c>
      <c r="N173" s="68">
        <f>IFERROR($L173*$K173,"")</f>
        <v/>
      </c>
      <c r="O173" s="68">
        <f>IFERROR($L173-$M173,"")</f>
        <v/>
      </c>
      <c r="P173" s="68">
        <f>IFERROR($O173-$N173,"")</f>
        <v/>
      </c>
      <c r="Q173" s="69">
        <f>IFERROR($P173/$L173,"")</f>
        <v/>
      </c>
    </row>
    <row r="174" ht="15" customHeight="1" s="47">
      <c r="A174" s="183" t="n">
        <v>46206</v>
      </c>
      <c r="B174" s="182" t="inlineStr">
        <is>
          <t>T01</t>
        </is>
      </c>
      <c r="C174" s="182" t="inlineStr">
        <is>
          <t>EL-042</t>
        </is>
      </c>
      <c r="D174" s="59">
        <f>IFERROR(INDEX(Productos!$B$5:$B$124,MATCH($C174,Productos!$A$5:$A$124,0)),"")</f>
        <v/>
      </c>
      <c r="E174" s="59">
        <f>IFERROR(INDEX(Productos!$D$5:$D$124,MATCH($C174,Productos!$A$5:$A$124,0)),"")</f>
        <v/>
      </c>
      <c r="F174" s="186" t="n">
        <v>2</v>
      </c>
      <c r="G174" s="68">
        <f>IFERROR(INDEX(Productos!$H$5:$H$124,MATCH($C174,Productos!$A$5:$A$124,0)),"")</f>
        <v/>
      </c>
      <c r="H174" s="185" t="n">
        <v>0.05</v>
      </c>
      <c r="I174" s="68">
        <f>IFERROR($G174*(1-$H174),"")</f>
        <v/>
      </c>
      <c r="J174" s="182" t="inlineStr">
        <is>
          <t>Crédito propio</t>
        </is>
      </c>
      <c r="K174" s="69">
        <f>IF($J174="",0,IF($J174="Contado",Inicio!$C$26,IF($J174="Tarjeta",Inicio!$C$27,IF($J174="Crédito propio",Inicio!$C$28,0))))</f>
        <v/>
      </c>
      <c r="L174" s="68">
        <f>IFERROR($F174*$I174,"")</f>
        <v/>
      </c>
      <c r="M174" s="68">
        <f>IFERROR($F174*INDEX(Productos!$G$5:$G$124,MATCH($C174,Productos!$A$5:$A$124,0)),"")</f>
        <v/>
      </c>
      <c r="N174" s="68">
        <f>IFERROR($L174*$K174,"")</f>
        <v/>
      </c>
      <c r="O174" s="68">
        <f>IFERROR($L174-$M174,"")</f>
        <v/>
      </c>
      <c r="P174" s="68">
        <f>IFERROR($O174-$N174,"")</f>
        <v/>
      </c>
      <c r="Q174" s="69">
        <f>IFERROR($P174/$L174,"")</f>
        <v/>
      </c>
    </row>
    <row r="175" ht="15" customHeight="1" s="47">
      <c r="A175" s="183" t="n">
        <v>46206</v>
      </c>
      <c r="B175" s="182" t="inlineStr">
        <is>
          <t>T01</t>
        </is>
      </c>
      <c r="C175" s="182" t="inlineStr">
        <is>
          <t>EL-044</t>
        </is>
      </c>
      <c r="D175" s="59">
        <f>IFERROR(INDEX(Productos!$B$5:$B$124,MATCH($C175,Productos!$A$5:$A$124,0)),"")</f>
        <v/>
      </c>
      <c r="E175" s="59">
        <f>IFERROR(INDEX(Productos!$D$5:$D$124,MATCH($C175,Productos!$A$5:$A$124,0)),"")</f>
        <v/>
      </c>
      <c r="F175" s="186" t="n">
        <v>1</v>
      </c>
      <c r="G175" s="68">
        <f>IFERROR(INDEX(Productos!$H$5:$H$124,MATCH($C175,Productos!$A$5:$A$124,0)),"")</f>
        <v/>
      </c>
      <c r="H175" s="185" t="n">
        <v>0.05</v>
      </c>
      <c r="I175" s="68">
        <f>IFERROR($G175*(1-$H175),"")</f>
        <v/>
      </c>
      <c r="J175" s="182" t="inlineStr">
        <is>
          <t>Crédito propio</t>
        </is>
      </c>
      <c r="K175" s="69">
        <f>IF($J175="",0,IF($J175="Contado",Inicio!$C$26,IF($J175="Tarjeta",Inicio!$C$27,IF($J175="Crédito propio",Inicio!$C$28,0))))</f>
        <v/>
      </c>
      <c r="L175" s="68">
        <f>IFERROR($F175*$I175,"")</f>
        <v/>
      </c>
      <c r="M175" s="68">
        <f>IFERROR($F175*INDEX(Productos!$G$5:$G$124,MATCH($C175,Productos!$A$5:$A$124,0)),"")</f>
        <v/>
      </c>
      <c r="N175" s="68">
        <f>IFERROR($L175*$K175,"")</f>
        <v/>
      </c>
      <c r="O175" s="68">
        <f>IFERROR($L175-$M175,"")</f>
        <v/>
      </c>
      <c r="P175" s="68">
        <f>IFERROR($O175-$N175,"")</f>
        <v/>
      </c>
      <c r="Q175" s="69">
        <f>IFERROR($P175/$L175,"")</f>
        <v/>
      </c>
    </row>
    <row r="176" ht="15" customHeight="1" s="47">
      <c r="A176" s="183" t="n">
        <v>46206</v>
      </c>
      <c r="B176" s="182" t="inlineStr">
        <is>
          <t>T01</t>
        </is>
      </c>
      <c r="C176" s="182" t="inlineStr">
        <is>
          <t>EL-045</t>
        </is>
      </c>
      <c r="D176" s="59">
        <f>IFERROR(INDEX(Productos!$B$5:$B$124,MATCH($C176,Productos!$A$5:$A$124,0)),"")</f>
        <v/>
      </c>
      <c r="E176" s="59">
        <f>IFERROR(INDEX(Productos!$D$5:$D$124,MATCH($C176,Productos!$A$5:$A$124,0)),"")</f>
        <v/>
      </c>
      <c r="F176" s="186" t="n">
        <v>1</v>
      </c>
      <c r="G176" s="68">
        <f>IFERROR(INDEX(Productos!$H$5:$H$124,MATCH($C176,Productos!$A$5:$A$124,0)),"")</f>
        <v/>
      </c>
      <c r="H176" s="185" t="n">
        <v>0.03</v>
      </c>
      <c r="I176" s="68">
        <f>IFERROR($G176*(1-$H176),"")</f>
        <v/>
      </c>
      <c r="J176" s="182" t="inlineStr">
        <is>
          <t>Crédito propio</t>
        </is>
      </c>
      <c r="K176" s="69">
        <f>IF($J176="",0,IF($J176="Contado",Inicio!$C$26,IF($J176="Tarjeta",Inicio!$C$27,IF($J176="Crédito propio",Inicio!$C$28,0))))</f>
        <v/>
      </c>
      <c r="L176" s="68">
        <f>IFERROR($F176*$I176,"")</f>
        <v/>
      </c>
      <c r="M176" s="68">
        <f>IFERROR($F176*INDEX(Productos!$G$5:$G$124,MATCH($C176,Productos!$A$5:$A$124,0)),"")</f>
        <v/>
      </c>
      <c r="N176" s="68">
        <f>IFERROR($L176*$K176,"")</f>
        <v/>
      </c>
      <c r="O176" s="68">
        <f>IFERROR($L176-$M176,"")</f>
        <v/>
      </c>
      <c r="P176" s="68">
        <f>IFERROR($O176-$N176,"")</f>
        <v/>
      </c>
      <c r="Q176" s="69">
        <f>IFERROR($P176/$L176,"")</f>
        <v/>
      </c>
    </row>
    <row r="177" ht="15" customHeight="1" s="47">
      <c r="A177" s="183" t="n">
        <v>46206</v>
      </c>
      <c r="B177" s="182" t="inlineStr">
        <is>
          <t>T01</t>
        </is>
      </c>
      <c r="C177" s="182" t="inlineStr">
        <is>
          <t>EL-046</t>
        </is>
      </c>
      <c r="D177" s="59">
        <f>IFERROR(INDEX(Productos!$B$5:$B$124,MATCH($C177,Productos!$A$5:$A$124,0)),"")</f>
        <v/>
      </c>
      <c r="E177" s="59">
        <f>IFERROR(INDEX(Productos!$D$5:$D$124,MATCH($C177,Productos!$A$5:$A$124,0)),"")</f>
        <v/>
      </c>
      <c r="F177" s="186" t="n">
        <v>1</v>
      </c>
      <c r="G177" s="68">
        <f>IFERROR(INDEX(Productos!$H$5:$H$124,MATCH($C177,Productos!$A$5:$A$124,0)),"")</f>
        <v/>
      </c>
      <c r="H177" s="185" t="n">
        <v>0.03</v>
      </c>
      <c r="I177" s="68">
        <f>IFERROR($G177*(1-$H177),"")</f>
        <v/>
      </c>
      <c r="J177" s="182" t="inlineStr">
        <is>
          <t>Tarjeta</t>
        </is>
      </c>
      <c r="K177" s="69">
        <f>IF($J177="",0,IF($J177="Contado",Inicio!$C$26,IF($J177="Tarjeta",Inicio!$C$27,IF($J177="Crédito propio",Inicio!$C$28,0))))</f>
        <v/>
      </c>
      <c r="L177" s="68">
        <f>IFERROR($F177*$I177,"")</f>
        <v/>
      </c>
      <c r="M177" s="68">
        <f>IFERROR($F177*INDEX(Productos!$G$5:$G$124,MATCH($C177,Productos!$A$5:$A$124,0)),"")</f>
        <v/>
      </c>
      <c r="N177" s="68">
        <f>IFERROR($L177*$K177,"")</f>
        <v/>
      </c>
      <c r="O177" s="68">
        <f>IFERROR($L177-$M177,"")</f>
        <v/>
      </c>
      <c r="P177" s="68">
        <f>IFERROR($O177-$N177,"")</f>
        <v/>
      </c>
      <c r="Q177" s="69">
        <f>IFERROR($P177/$L177,"")</f>
        <v/>
      </c>
    </row>
    <row r="178" ht="15" customHeight="1" s="47">
      <c r="A178" s="183" t="n">
        <v>46206</v>
      </c>
      <c r="B178" s="182" t="inlineStr">
        <is>
          <t>T01</t>
        </is>
      </c>
      <c r="C178" s="182" t="inlineStr">
        <is>
          <t>EL-049</t>
        </is>
      </c>
      <c r="D178" s="59">
        <f>IFERROR(INDEX(Productos!$B$5:$B$124,MATCH($C178,Productos!$A$5:$A$124,0)),"")</f>
        <v/>
      </c>
      <c r="E178" s="59">
        <f>IFERROR(INDEX(Productos!$D$5:$D$124,MATCH($C178,Productos!$A$5:$A$124,0)),"")</f>
        <v/>
      </c>
      <c r="F178" s="186" t="n">
        <v>2</v>
      </c>
      <c r="G178" s="68">
        <f>IFERROR(INDEX(Productos!$H$5:$H$124,MATCH($C178,Productos!$A$5:$A$124,0)),"")</f>
        <v/>
      </c>
      <c r="H178" s="185" t="n">
        <v>0.03</v>
      </c>
      <c r="I178" s="68">
        <f>IFERROR($G178*(1-$H178),"")</f>
        <v/>
      </c>
      <c r="J178" s="182" t="inlineStr">
        <is>
          <t>Tarjeta</t>
        </is>
      </c>
      <c r="K178" s="69">
        <f>IF($J178="",0,IF($J178="Contado",Inicio!$C$26,IF($J178="Tarjeta",Inicio!$C$27,IF($J178="Crédito propio",Inicio!$C$28,0))))</f>
        <v/>
      </c>
      <c r="L178" s="68">
        <f>IFERROR($F178*$I178,"")</f>
        <v/>
      </c>
      <c r="M178" s="68">
        <f>IFERROR($F178*INDEX(Productos!$G$5:$G$124,MATCH($C178,Productos!$A$5:$A$124,0)),"")</f>
        <v/>
      </c>
      <c r="N178" s="68">
        <f>IFERROR($L178*$K178,"")</f>
        <v/>
      </c>
      <c r="O178" s="68">
        <f>IFERROR($L178-$M178,"")</f>
        <v/>
      </c>
      <c r="P178" s="68">
        <f>IFERROR($O178-$N178,"")</f>
        <v/>
      </c>
      <c r="Q178" s="69">
        <f>IFERROR($P178/$L178,"")</f>
        <v/>
      </c>
    </row>
    <row r="179" ht="15" customHeight="1" s="47">
      <c r="A179" s="183" t="n">
        <v>46206</v>
      </c>
      <c r="B179" s="182" t="inlineStr">
        <is>
          <t>T01</t>
        </is>
      </c>
      <c r="C179" s="182" t="inlineStr">
        <is>
          <t>EL-050</t>
        </is>
      </c>
      <c r="D179" s="59">
        <f>IFERROR(INDEX(Productos!$B$5:$B$124,MATCH($C179,Productos!$A$5:$A$124,0)),"")</f>
        <v/>
      </c>
      <c r="E179" s="59">
        <f>IFERROR(INDEX(Productos!$D$5:$D$124,MATCH($C179,Productos!$A$5:$A$124,0)),"")</f>
        <v/>
      </c>
      <c r="F179" s="186" t="n">
        <v>1</v>
      </c>
      <c r="G179" s="68">
        <f>IFERROR(INDEX(Productos!$H$5:$H$124,MATCH($C179,Productos!$A$5:$A$124,0)),"")</f>
        <v/>
      </c>
      <c r="H179" s="185" t="n">
        <v>0.06900000000000001</v>
      </c>
      <c r="I179" s="68">
        <f>IFERROR($G179*(1-$H179),"")</f>
        <v/>
      </c>
      <c r="J179" s="182" t="inlineStr">
        <is>
          <t>Crédito propio</t>
        </is>
      </c>
      <c r="K179" s="69">
        <f>IF($J179="",0,IF($J179="Contado",Inicio!$C$26,IF($J179="Tarjeta",Inicio!$C$27,IF($J179="Crédito propio",Inicio!$C$28,0))))</f>
        <v/>
      </c>
      <c r="L179" s="68">
        <f>IFERROR($F179*$I179,"")</f>
        <v/>
      </c>
      <c r="M179" s="68">
        <f>IFERROR($F179*INDEX(Productos!$G$5:$G$124,MATCH($C179,Productos!$A$5:$A$124,0)),"")</f>
        <v/>
      </c>
      <c r="N179" s="68">
        <f>IFERROR($L179*$K179,"")</f>
        <v/>
      </c>
      <c r="O179" s="68">
        <f>IFERROR($L179-$M179,"")</f>
        <v/>
      </c>
      <c r="P179" s="68">
        <f>IFERROR($O179-$N179,"")</f>
        <v/>
      </c>
      <c r="Q179" s="69">
        <f>IFERROR($P179/$L179,"")</f>
        <v/>
      </c>
    </row>
    <row r="180" ht="15" customHeight="1" s="47">
      <c r="A180" s="183" t="n">
        <v>46206</v>
      </c>
      <c r="B180" s="182" t="inlineStr">
        <is>
          <t>T02</t>
        </is>
      </c>
      <c r="C180" s="182" t="inlineStr">
        <is>
          <t>EL-001</t>
        </is>
      </c>
      <c r="D180" s="59">
        <f>IFERROR(INDEX(Productos!$B$5:$B$124,MATCH($C180,Productos!$A$5:$A$124,0)),"")</f>
        <v/>
      </c>
      <c r="E180" s="59">
        <f>IFERROR(INDEX(Productos!$D$5:$D$124,MATCH($C180,Productos!$A$5:$A$124,0)),"")</f>
        <v/>
      </c>
      <c r="F180" s="186" t="n">
        <v>1</v>
      </c>
      <c r="G180" s="68">
        <f>IFERROR(INDEX(Productos!$H$5:$H$124,MATCH($C180,Productos!$A$5:$A$124,0)),"")</f>
        <v/>
      </c>
      <c r="H180" s="185" t="n">
        <v>0.07177033492822971</v>
      </c>
      <c r="I180" s="68">
        <f>IFERROR($G180*(1-$H180),"")</f>
        <v/>
      </c>
      <c r="J180" s="182" t="inlineStr">
        <is>
          <t>Tarjeta</t>
        </is>
      </c>
      <c r="K180" s="69">
        <f>IF($J180="",0,IF($J180="Contado",Inicio!$C$26,IF($J180="Tarjeta",Inicio!$C$27,IF($J180="Crédito propio",Inicio!$C$28,0))))</f>
        <v/>
      </c>
      <c r="L180" s="68">
        <f>IFERROR($F180*$I180,"")</f>
        <v/>
      </c>
      <c r="M180" s="68">
        <f>IFERROR($F180*INDEX(Productos!$G$5:$G$124,MATCH($C180,Productos!$A$5:$A$124,0)),"")</f>
        <v/>
      </c>
      <c r="N180" s="68">
        <f>IFERROR($L180*$K180,"")</f>
        <v/>
      </c>
      <c r="O180" s="68">
        <f>IFERROR($L180-$M180,"")</f>
        <v/>
      </c>
      <c r="P180" s="68">
        <f>IFERROR($O180-$N180,"")</f>
        <v/>
      </c>
      <c r="Q180" s="69">
        <f>IFERROR($P180/$L180,"")</f>
        <v/>
      </c>
    </row>
    <row r="181" ht="15" customHeight="1" s="47">
      <c r="A181" s="183" t="n">
        <v>46206</v>
      </c>
      <c r="B181" s="182" t="inlineStr">
        <is>
          <t>T02</t>
        </is>
      </c>
      <c r="C181" s="182" t="inlineStr">
        <is>
          <t>EL-003</t>
        </is>
      </c>
      <c r="D181" s="59">
        <f>IFERROR(INDEX(Productos!$B$5:$B$124,MATCH($C181,Productos!$A$5:$A$124,0)),"")</f>
        <v/>
      </c>
      <c r="E181" s="59">
        <f>IFERROR(INDEX(Productos!$D$5:$D$124,MATCH($C181,Productos!$A$5:$A$124,0)),"")</f>
        <v/>
      </c>
      <c r="F181" s="186" t="n">
        <v>1</v>
      </c>
      <c r="G181" s="68">
        <f>IFERROR(INDEX(Productos!$H$5:$H$124,MATCH($C181,Productos!$A$5:$A$124,0)),"")</f>
        <v/>
      </c>
      <c r="H181" s="185" t="n">
        <v>0.07236842105263153</v>
      </c>
      <c r="I181" s="68">
        <f>IFERROR($G181*(1-$H181),"")</f>
        <v/>
      </c>
      <c r="J181" s="182" t="inlineStr">
        <is>
          <t>Contado</t>
        </is>
      </c>
      <c r="K181" s="69">
        <f>IF($J181="",0,IF($J181="Contado",Inicio!$C$26,IF($J181="Tarjeta",Inicio!$C$27,IF($J181="Crédito propio",Inicio!$C$28,0))))</f>
        <v/>
      </c>
      <c r="L181" s="68">
        <f>IFERROR($F181*$I181,"")</f>
        <v/>
      </c>
      <c r="M181" s="68">
        <f>IFERROR($F181*INDEX(Productos!$G$5:$G$124,MATCH($C181,Productos!$A$5:$A$124,0)),"")</f>
        <v/>
      </c>
      <c r="N181" s="68">
        <f>IFERROR($L181*$K181,"")</f>
        <v/>
      </c>
      <c r="O181" s="68">
        <f>IFERROR($L181-$M181,"")</f>
        <v/>
      </c>
      <c r="P181" s="68">
        <f>IFERROR($O181-$N181,"")</f>
        <v/>
      </c>
      <c r="Q181" s="69">
        <f>IFERROR($P181/$L181,"")</f>
        <v/>
      </c>
    </row>
    <row r="182" ht="15" customHeight="1" s="47">
      <c r="A182" s="183" t="n">
        <v>46206</v>
      </c>
      <c r="B182" s="182" t="inlineStr">
        <is>
          <t>T02</t>
        </is>
      </c>
      <c r="C182" s="182" t="inlineStr">
        <is>
          <t>EL-006</t>
        </is>
      </c>
      <c r="D182" s="59">
        <f>IFERROR(INDEX(Productos!$B$5:$B$124,MATCH($C182,Productos!$A$5:$A$124,0)),"")</f>
        <v/>
      </c>
      <c r="E182" s="59">
        <f>IFERROR(INDEX(Productos!$D$5:$D$124,MATCH($C182,Productos!$A$5:$A$124,0)),"")</f>
        <v/>
      </c>
      <c r="F182" s="186" t="n">
        <v>1</v>
      </c>
      <c r="G182" s="68">
        <f>IFERROR(INDEX(Productos!$H$5:$H$124,MATCH($C182,Productos!$A$5:$A$124,0)),"")</f>
        <v/>
      </c>
      <c r="H182" s="185" t="n">
        <v>0.05</v>
      </c>
      <c r="I182" s="68">
        <f>IFERROR($G182*(1-$H182),"")</f>
        <v/>
      </c>
      <c r="J182" s="182" t="inlineStr">
        <is>
          <t>Contado</t>
        </is>
      </c>
      <c r="K182" s="69">
        <f>IF($J182="",0,IF($J182="Contado",Inicio!$C$26,IF($J182="Tarjeta",Inicio!$C$27,IF($J182="Crédito propio",Inicio!$C$28,0))))</f>
        <v/>
      </c>
      <c r="L182" s="68">
        <f>IFERROR($F182*$I182,"")</f>
        <v/>
      </c>
      <c r="M182" s="68">
        <f>IFERROR($F182*INDEX(Productos!$G$5:$G$124,MATCH($C182,Productos!$A$5:$A$124,0)),"")</f>
        <v/>
      </c>
      <c r="N182" s="68">
        <f>IFERROR($L182*$K182,"")</f>
        <v/>
      </c>
      <c r="O182" s="68">
        <f>IFERROR($L182-$M182,"")</f>
        <v/>
      </c>
      <c r="P182" s="68">
        <f>IFERROR($O182-$N182,"")</f>
        <v/>
      </c>
      <c r="Q182" s="69">
        <f>IFERROR($P182/$L182,"")</f>
        <v/>
      </c>
    </row>
    <row r="183" ht="15" customHeight="1" s="47">
      <c r="A183" s="183" t="n">
        <v>46206</v>
      </c>
      <c r="B183" s="182" t="inlineStr">
        <is>
          <t>T02</t>
        </is>
      </c>
      <c r="C183" s="182" t="inlineStr">
        <is>
          <t>EL-013</t>
        </is>
      </c>
      <c r="D183" s="59">
        <f>IFERROR(INDEX(Productos!$B$5:$B$124,MATCH($C183,Productos!$A$5:$A$124,0)),"")</f>
        <v/>
      </c>
      <c r="E183" s="59">
        <f>IFERROR(INDEX(Productos!$D$5:$D$124,MATCH($C183,Productos!$A$5:$A$124,0)),"")</f>
        <v/>
      </c>
      <c r="F183" s="186" t="n">
        <v>1</v>
      </c>
      <c r="G183" s="68">
        <f>IFERROR(INDEX(Productos!$H$5:$H$124,MATCH($C183,Productos!$A$5:$A$124,0)),"")</f>
        <v/>
      </c>
      <c r="H183" s="185" t="n">
        <v>0.07000000000000001</v>
      </c>
      <c r="I183" s="68">
        <f>IFERROR($G183*(1-$H183),"")</f>
        <v/>
      </c>
      <c r="J183" s="182" t="inlineStr">
        <is>
          <t>Tarjeta</t>
        </is>
      </c>
      <c r="K183" s="69">
        <f>IF($J183="",0,IF($J183="Contado",Inicio!$C$26,IF($J183="Tarjeta",Inicio!$C$27,IF($J183="Crédito propio",Inicio!$C$28,0))))</f>
        <v/>
      </c>
      <c r="L183" s="68">
        <f>IFERROR($F183*$I183,"")</f>
        <v/>
      </c>
      <c r="M183" s="68">
        <f>IFERROR($F183*INDEX(Productos!$G$5:$G$124,MATCH($C183,Productos!$A$5:$A$124,0)),"")</f>
        <v/>
      </c>
      <c r="N183" s="68">
        <f>IFERROR($L183*$K183,"")</f>
        <v/>
      </c>
      <c r="O183" s="68">
        <f>IFERROR($L183-$M183,"")</f>
        <v/>
      </c>
      <c r="P183" s="68">
        <f>IFERROR($O183-$N183,"")</f>
        <v/>
      </c>
      <c r="Q183" s="69">
        <f>IFERROR($P183/$L183,"")</f>
        <v/>
      </c>
    </row>
    <row r="184" ht="15" customHeight="1" s="47">
      <c r="A184" s="183" t="n">
        <v>46206</v>
      </c>
      <c r="B184" s="182" t="inlineStr">
        <is>
          <t>T02</t>
        </is>
      </c>
      <c r="C184" s="182" t="inlineStr">
        <is>
          <t>EL-017</t>
        </is>
      </c>
      <c r="D184" s="59">
        <f>IFERROR(INDEX(Productos!$B$5:$B$124,MATCH($C184,Productos!$A$5:$A$124,0)),"")</f>
        <v/>
      </c>
      <c r="E184" s="59">
        <f>IFERROR(INDEX(Productos!$D$5:$D$124,MATCH($C184,Productos!$A$5:$A$124,0)),"")</f>
        <v/>
      </c>
      <c r="F184" s="186" t="n">
        <v>1</v>
      </c>
      <c r="G184" s="68">
        <f>IFERROR(INDEX(Productos!$H$5:$H$124,MATCH($C184,Productos!$A$5:$A$124,0)),"")</f>
        <v/>
      </c>
      <c r="H184" s="185" t="n">
        <v>0.07182320441988954</v>
      </c>
      <c r="I184" s="68">
        <f>IFERROR($G184*(1-$H184),"")</f>
        <v/>
      </c>
      <c r="J184" s="182" t="inlineStr">
        <is>
          <t>Tarjeta</t>
        </is>
      </c>
      <c r="K184" s="69">
        <f>IF($J184="",0,IF($J184="Contado",Inicio!$C$26,IF($J184="Tarjeta",Inicio!$C$27,IF($J184="Crédito propio",Inicio!$C$28,0))))</f>
        <v/>
      </c>
      <c r="L184" s="68">
        <f>IFERROR($F184*$I184,"")</f>
        <v/>
      </c>
      <c r="M184" s="68">
        <f>IFERROR($F184*INDEX(Productos!$G$5:$G$124,MATCH($C184,Productos!$A$5:$A$124,0)),"")</f>
        <v/>
      </c>
      <c r="N184" s="68">
        <f>IFERROR($L184*$K184,"")</f>
        <v/>
      </c>
      <c r="O184" s="68">
        <f>IFERROR($L184-$M184,"")</f>
        <v/>
      </c>
      <c r="P184" s="68">
        <f>IFERROR($O184-$N184,"")</f>
        <v/>
      </c>
      <c r="Q184" s="69">
        <f>IFERROR($P184/$L184,"")</f>
        <v/>
      </c>
    </row>
    <row r="185" ht="15" customHeight="1" s="47">
      <c r="A185" s="183" t="n">
        <v>46206</v>
      </c>
      <c r="B185" s="182" t="inlineStr">
        <is>
          <t>T02</t>
        </is>
      </c>
      <c r="C185" s="182" t="inlineStr">
        <is>
          <t>EL-018</t>
        </is>
      </c>
      <c r="D185" s="59">
        <f>IFERROR(INDEX(Productos!$B$5:$B$124,MATCH($C185,Productos!$A$5:$A$124,0)),"")</f>
        <v/>
      </c>
      <c r="E185" s="59">
        <f>IFERROR(INDEX(Productos!$D$5:$D$124,MATCH($C185,Productos!$A$5:$A$124,0)),"")</f>
        <v/>
      </c>
      <c r="F185" s="186" t="n">
        <v>1</v>
      </c>
      <c r="G185" s="68">
        <f>IFERROR(INDEX(Productos!$H$5:$H$124,MATCH($C185,Productos!$A$5:$A$124,0)),"")</f>
        <v/>
      </c>
      <c r="H185" s="185" t="n">
        <v>0.05</v>
      </c>
      <c r="I185" s="68">
        <f>IFERROR($G185*(1-$H185),"")</f>
        <v/>
      </c>
      <c r="J185" s="182" t="inlineStr">
        <is>
          <t>Crédito propio</t>
        </is>
      </c>
      <c r="K185" s="69">
        <f>IF($J185="",0,IF($J185="Contado",Inicio!$C$26,IF($J185="Tarjeta",Inicio!$C$27,IF($J185="Crédito propio",Inicio!$C$28,0))))</f>
        <v/>
      </c>
      <c r="L185" s="68">
        <f>IFERROR($F185*$I185,"")</f>
        <v/>
      </c>
      <c r="M185" s="68">
        <f>IFERROR($F185*INDEX(Productos!$G$5:$G$124,MATCH($C185,Productos!$A$5:$A$124,0)),"")</f>
        <v/>
      </c>
      <c r="N185" s="68">
        <f>IFERROR($L185*$K185,"")</f>
        <v/>
      </c>
      <c r="O185" s="68">
        <f>IFERROR($L185-$M185,"")</f>
        <v/>
      </c>
      <c r="P185" s="68">
        <f>IFERROR($O185-$N185,"")</f>
        <v/>
      </c>
      <c r="Q185" s="69">
        <f>IFERROR($P185/$L185,"")</f>
        <v/>
      </c>
    </row>
    <row r="186" ht="15" customHeight="1" s="47">
      <c r="A186" s="183" t="n">
        <v>46206</v>
      </c>
      <c r="B186" s="182" t="inlineStr">
        <is>
          <t>T02</t>
        </is>
      </c>
      <c r="C186" s="182" t="inlineStr">
        <is>
          <t>EL-024</t>
        </is>
      </c>
      <c r="D186" s="59">
        <f>IFERROR(INDEX(Productos!$B$5:$B$124,MATCH($C186,Productos!$A$5:$A$124,0)),"")</f>
        <v/>
      </c>
      <c r="E186" s="59">
        <f>IFERROR(INDEX(Productos!$D$5:$D$124,MATCH($C186,Productos!$A$5:$A$124,0)),"")</f>
        <v/>
      </c>
      <c r="F186" s="186" t="n">
        <v>1</v>
      </c>
      <c r="G186" s="68">
        <f>IFERROR(INDEX(Productos!$H$5:$H$124,MATCH($C186,Productos!$A$5:$A$124,0)),"")</f>
        <v/>
      </c>
      <c r="H186" s="185" t="n">
        <v>0.03</v>
      </c>
      <c r="I186" s="68">
        <f>IFERROR($G186*(1-$H186),"")</f>
        <v/>
      </c>
      <c r="J186" s="182" t="inlineStr">
        <is>
          <t>Tarjeta</t>
        </is>
      </c>
      <c r="K186" s="69">
        <f>IF($J186="",0,IF($J186="Contado",Inicio!$C$26,IF($J186="Tarjeta",Inicio!$C$27,IF($J186="Crédito propio",Inicio!$C$28,0))))</f>
        <v/>
      </c>
      <c r="L186" s="68">
        <f>IFERROR($F186*$I186,"")</f>
        <v/>
      </c>
      <c r="M186" s="68">
        <f>IFERROR($F186*INDEX(Productos!$G$5:$G$124,MATCH($C186,Productos!$A$5:$A$124,0)),"")</f>
        <v/>
      </c>
      <c r="N186" s="68">
        <f>IFERROR($L186*$K186,"")</f>
        <v/>
      </c>
      <c r="O186" s="68">
        <f>IFERROR($L186-$M186,"")</f>
        <v/>
      </c>
      <c r="P186" s="68">
        <f>IFERROR($O186-$N186,"")</f>
        <v/>
      </c>
      <c r="Q186" s="69">
        <f>IFERROR($P186/$L186,"")</f>
        <v/>
      </c>
    </row>
    <row r="187" ht="15" customHeight="1" s="47">
      <c r="A187" s="183" t="n">
        <v>46206</v>
      </c>
      <c r="B187" s="182" t="inlineStr">
        <is>
          <t>T02</t>
        </is>
      </c>
      <c r="C187" s="182" t="inlineStr">
        <is>
          <t>EL-025</t>
        </is>
      </c>
      <c r="D187" s="59">
        <f>IFERROR(INDEX(Productos!$B$5:$B$124,MATCH($C187,Productos!$A$5:$A$124,0)),"")</f>
        <v/>
      </c>
      <c r="E187" s="59">
        <f>IFERROR(INDEX(Productos!$D$5:$D$124,MATCH($C187,Productos!$A$5:$A$124,0)),"")</f>
        <v/>
      </c>
      <c r="F187" s="186" t="n">
        <v>1</v>
      </c>
      <c r="G187" s="68">
        <f>IFERROR(INDEX(Productos!$H$5:$H$124,MATCH($C187,Productos!$A$5:$A$124,0)),"")</f>
        <v/>
      </c>
      <c r="H187" s="185" t="n">
        <v>0.03</v>
      </c>
      <c r="I187" s="68">
        <f>IFERROR($G187*(1-$H187),"")</f>
        <v/>
      </c>
      <c r="J187" s="182" t="inlineStr">
        <is>
          <t>Tarjeta</t>
        </is>
      </c>
      <c r="K187" s="69">
        <f>IF($J187="",0,IF($J187="Contado",Inicio!$C$26,IF($J187="Tarjeta",Inicio!$C$27,IF($J187="Crédito propio",Inicio!$C$28,0))))</f>
        <v/>
      </c>
      <c r="L187" s="68">
        <f>IFERROR($F187*$I187,"")</f>
        <v/>
      </c>
      <c r="M187" s="68">
        <f>IFERROR($F187*INDEX(Productos!$G$5:$G$124,MATCH($C187,Productos!$A$5:$A$124,0)),"")</f>
        <v/>
      </c>
      <c r="N187" s="68">
        <f>IFERROR($L187*$K187,"")</f>
        <v/>
      </c>
      <c r="O187" s="68">
        <f>IFERROR($L187-$M187,"")</f>
        <v/>
      </c>
      <c r="P187" s="68">
        <f>IFERROR($O187-$N187,"")</f>
        <v/>
      </c>
      <c r="Q187" s="69">
        <f>IFERROR($P187/$L187,"")</f>
        <v/>
      </c>
    </row>
    <row r="188" ht="15" customHeight="1" s="47">
      <c r="A188" s="183" t="n">
        <v>46206</v>
      </c>
      <c r="B188" s="182" t="inlineStr">
        <is>
          <t>T02</t>
        </is>
      </c>
      <c r="C188" s="182" t="inlineStr">
        <is>
          <t>EL-028</t>
        </is>
      </c>
      <c r="D188" s="59">
        <f>IFERROR(INDEX(Productos!$B$5:$B$124,MATCH($C188,Productos!$A$5:$A$124,0)),"")</f>
        <v/>
      </c>
      <c r="E188" s="59">
        <f>IFERROR(INDEX(Productos!$D$5:$D$124,MATCH($C188,Productos!$A$5:$A$124,0)),"")</f>
        <v/>
      </c>
      <c r="F188" s="186" t="n">
        <v>1</v>
      </c>
      <c r="G188" s="68">
        <f>IFERROR(INDEX(Productos!$H$5:$H$124,MATCH($C188,Productos!$A$5:$A$124,0)),"")</f>
        <v/>
      </c>
      <c r="H188" s="185" t="n">
        <v>0.07692307692307687</v>
      </c>
      <c r="I188" s="68">
        <f>IFERROR($G188*(1-$H188),"")</f>
        <v/>
      </c>
      <c r="J188" s="182" t="inlineStr">
        <is>
          <t>Contado</t>
        </is>
      </c>
      <c r="K188" s="69">
        <f>IF($J188="",0,IF($J188="Contado",Inicio!$C$26,IF($J188="Tarjeta",Inicio!$C$27,IF($J188="Crédito propio",Inicio!$C$28,0))))</f>
        <v/>
      </c>
      <c r="L188" s="68">
        <f>IFERROR($F188*$I188,"")</f>
        <v/>
      </c>
      <c r="M188" s="68">
        <f>IFERROR($F188*INDEX(Productos!$G$5:$G$124,MATCH($C188,Productos!$A$5:$A$124,0)),"")</f>
        <v/>
      </c>
      <c r="N188" s="68">
        <f>IFERROR($L188*$K188,"")</f>
        <v/>
      </c>
      <c r="O188" s="68">
        <f>IFERROR($L188-$M188,"")</f>
        <v/>
      </c>
      <c r="P188" s="68">
        <f>IFERROR($O188-$N188,"")</f>
        <v/>
      </c>
      <c r="Q188" s="69">
        <f>IFERROR($P188/$L188,"")</f>
        <v/>
      </c>
    </row>
    <row r="189" ht="15" customHeight="1" s="47">
      <c r="A189" s="183" t="n">
        <v>46206</v>
      </c>
      <c r="B189" s="182" t="inlineStr">
        <is>
          <t>T02</t>
        </is>
      </c>
      <c r="C189" s="182" t="inlineStr">
        <is>
          <t>EL-030</t>
        </is>
      </c>
      <c r="D189" s="59">
        <f>IFERROR(INDEX(Productos!$B$5:$B$124,MATCH($C189,Productos!$A$5:$A$124,0)),"")</f>
        <v/>
      </c>
      <c r="E189" s="59">
        <f>IFERROR(INDEX(Productos!$D$5:$D$124,MATCH($C189,Productos!$A$5:$A$124,0)),"")</f>
        <v/>
      </c>
      <c r="F189" s="186" t="n">
        <v>1</v>
      </c>
      <c r="G189" s="68">
        <f>IFERROR(INDEX(Productos!$H$5:$H$124,MATCH($C189,Productos!$A$5:$A$124,0)),"")</f>
        <v/>
      </c>
      <c r="H189" s="185" t="n">
        <v>0.03</v>
      </c>
      <c r="I189" s="68">
        <f>IFERROR($G189*(1-$H189),"")</f>
        <v/>
      </c>
      <c r="J189" s="182" t="inlineStr">
        <is>
          <t>Contado</t>
        </is>
      </c>
      <c r="K189" s="69">
        <f>IF($J189="",0,IF($J189="Contado",Inicio!$C$26,IF($J189="Tarjeta",Inicio!$C$27,IF($J189="Crédito propio",Inicio!$C$28,0))))</f>
        <v/>
      </c>
      <c r="L189" s="68">
        <f>IFERROR($F189*$I189,"")</f>
        <v/>
      </c>
      <c r="M189" s="68">
        <f>IFERROR($F189*INDEX(Productos!$G$5:$G$124,MATCH($C189,Productos!$A$5:$A$124,0)),"")</f>
        <v/>
      </c>
      <c r="N189" s="68">
        <f>IFERROR($L189*$K189,"")</f>
        <v/>
      </c>
      <c r="O189" s="68">
        <f>IFERROR($L189-$M189,"")</f>
        <v/>
      </c>
      <c r="P189" s="68">
        <f>IFERROR($O189-$N189,"")</f>
        <v/>
      </c>
      <c r="Q189" s="69">
        <f>IFERROR($P189/$L189,"")</f>
        <v/>
      </c>
    </row>
    <row r="190" ht="15" customHeight="1" s="47">
      <c r="A190" s="183" t="n">
        <v>46206</v>
      </c>
      <c r="B190" s="182" t="inlineStr">
        <is>
          <t>T02</t>
        </is>
      </c>
      <c r="C190" s="182" t="inlineStr">
        <is>
          <t>EL-038</t>
        </is>
      </c>
      <c r="D190" s="59">
        <f>IFERROR(INDEX(Productos!$B$5:$B$124,MATCH($C190,Productos!$A$5:$A$124,0)),"")</f>
        <v/>
      </c>
      <c r="E190" s="59">
        <f>IFERROR(INDEX(Productos!$D$5:$D$124,MATCH($C190,Productos!$A$5:$A$124,0)),"")</f>
        <v/>
      </c>
      <c r="F190" s="186" t="n">
        <v>1</v>
      </c>
      <c r="G190" s="68">
        <f>IFERROR(INDEX(Productos!$H$5:$H$124,MATCH($C190,Productos!$A$5:$A$124,0)),"")</f>
        <v/>
      </c>
      <c r="H190" s="185" t="n">
        <v>0.03</v>
      </c>
      <c r="I190" s="68">
        <f>IFERROR($G190*(1-$H190),"")</f>
        <v/>
      </c>
      <c r="J190" s="182" t="inlineStr">
        <is>
          <t>Contado</t>
        </is>
      </c>
      <c r="K190" s="69">
        <f>IF($J190="",0,IF($J190="Contado",Inicio!$C$26,IF($J190="Tarjeta",Inicio!$C$27,IF($J190="Crédito propio",Inicio!$C$28,0))))</f>
        <v/>
      </c>
      <c r="L190" s="68">
        <f>IFERROR($F190*$I190,"")</f>
        <v/>
      </c>
      <c r="M190" s="68">
        <f>IFERROR($F190*INDEX(Productos!$G$5:$G$124,MATCH($C190,Productos!$A$5:$A$124,0)),"")</f>
        <v/>
      </c>
      <c r="N190" s="68">
        <f>IFERROR($L190*$K190,"")</f>
        <v/>
      </c>
      <c r="O190" s="68">
        <f>IFERROR($L190-$M190,"")</f>
        <v/>
      </c>
      <c r="P190" s="68">
        <f>IFERROR($O190-$N190,"")</f>
        <v/>
      </c>
      <c r="Q190" s="69">
        <f>IFERROR($P190/$L190,"")</f>
        <v/>
      </c>
    </row>
    <row r="191" ht="15" customHeight="1" s="47">
      <c r="A191" s="183" t="n">
        <v>46206</v>
      </c>
      <c r="B191" s="182" t="inlineStr">
        <is>
          <t>T02</t>
        </is>
      </c>
      <c r="C191" s="182" t="inlineStr">
        <is>
          <t>EL-046</t>
        </is>
      </c>
      <c r="D191" s="59">
        <f>IFERROR(INDEX(Productos!$B$5:$B$124,MATCH($C191,Productos!$A$5:$A$124,0)),"")</f>
        <v/>
      </c>
      <c r="E191" s="59">
        <f>IFERROR(INDEX(Productos!$D$5:$D$124,MATCH($C191,Productos!$A$5:$A$124,0)),"")</f>
        <v/>
      </c>
      <c r="F191" s="186" t="n">
        <v>1</v>
      </c>
      <c r="G191" s="68">
        <f>IFERROR(INDEX(Productos!$H$5:$H$124,MATCH($C191,Productos!$A$5:$A$124,0)),"")</f>
        <v/>
      </c>
      <c r="H191" s="185" t="n">
        <v>0</v>
      </c>
      <c r="I191" s="68">
        <f>IFERROR($G191*(1-$H191),"")</f>
        <v/>
      </c>
      <c r="J191" s="182" t="inlineStr">
        <is>
          <t>Tarjeta</t>
        </is>
      </c>
      <c r="K191" s="69">
        <f>IF($J191="",0,IF($J191="Contado",Inicio!$C$26,IF($J191="Tarjeta",Inicio!$C$27,IF($J191="Crédito propio",Inicio!$C$28,0))))</f>
        <v/>
      </c>
      <c r="L191" s="68">
        <f>IFERROR($F191*$I191,"")</f>
        <v/>
      </c>
      <c r="M191" s="68">
        <f>IFERROR($F191*INDEX(Productos!$G$5:$G$124,MATCH($C191,Productos!$A$5:$A$124,0)),"")</f>
        <v/>
      </c>
      <c r="N191" s="68">
        <f>IFERROR($L191*$K191,"")</f>
        <v/>
      </c>
      <c r="O191" s="68">
        <f>IFERROR($L191-$M191,"")</f>
        <v/>
      </c>
      <c r="P191" s="68">
        <f>IFERROR($O191-$N191,"")</f>
        <v/>
      </c>
      <c r="Q191" s="69">
        <f>IFERROR($P191/$L191,"")</f>
        <v/>
      </c>
    </row>
    <row r="192" ht="15" customHeight="1" s="47">
      <c r="A192" s="183" t="n">
        <v>46206</v>
      </c>
      <c r="B192" s="182" t="inlineStr">
        <is>
          <t>T03</t>
        </is>
      </c>
      <c r="C192" s="182" t="inlineStr">
        <is>
          <t>EL-007</t>
        </is>
      </c>
      <c r="D192" s="59">
        <f>IFERROR(INDEX(Productos!$B$5:$B$124,MATCH($C192,Productos!$A$5:$A$124,0)),"")</f>
        <v/>
      </c>
      <c r="E192" s="59">
        <f>IFERROR(INDEX(Productos!$D$5:$D$124,MATCH($C192,Productos!$A$5:$A$124,0)),"")</f>
        <v/>
      </c>
      <c r="F192" s="186" t="n">
        <v>1</v>
      </c>
      <c r="G192" s="68">
        <f>IFERROR(INDEX(Productos!$H$5:$H$124,MATCH($C192,Productos!$A$5:$A$124,0)),"")</f>
        <v/>
      </c>
      <c r="H192" s="185" t="n">
        <v>0.06951871657754005</v>
      </c>
      <c r="I192" s="68">
        <f>IFERROR($G192*(1-$H192),"")</f>
        <v/>
      </c>
      <c r="J192" s="182" t="inlineStr">
        <is>
          <t>Crédito propio</t>
        </is>
      </c>
      <c r="K192" s="69">
        <f>IF($J192="",0,IF($J192="Contado",Inicio!$C$26,IF($J192="Tarjeta",Inicio!$C$27,IF($J192="Crédito propio",Inicio!$C$28,0))))</f>
        <v/>
      </c>
      <c r="L192" s="68">
        <f>IFERROR($F192*$I192,"")</f>
        <v/>
      </c>
      <c r="M192" s="68">
        <f>IFERROR($F192*INDEX(Productos!$G$5:$G$124,MATCH($C192,Productos!$A$5:$A$124,0)),"")</f>
        <v/>
      </c>
      <c r="N192" s="68">
        <f>IFERROR($L192*$K192,"")</f>
        <v/>
      </c>
      <c r="O192" s="68">
        <f>IFERROR($L192-$M192,"")</f>
        <v/>
      </c>
      <c r="P192" s="68">
        <f>IFERROR($O192-$N192,"")</f>
        <v/>
      </c>
      <c r="Q192" s="69">
        <f>IFERROR($P192/$L192,"")</f>
        <v/>
      </c>
    </row>
    <row r="193" ht="15" customHeight="1" s="47">
      <c r="A193" s="183" t="n">
        <v>46206</v>
      </c>
      <c r="B193" s="182" t="inlineStr">
        <is>
          <t>T03</t>
        </is>
      </c>
      <c r="C193" s="182" t="inlineStr">
        <is>
          <t>EL-011</t>
        </is>
      </c>
      <c r="D193" s="59">
        <f>IFERROR(INDEX(Productos!$B$5:$B$124,MATCH($C193,Productos!$A$5:$A$124,0)),"")</f>
        <v/>
      </c>
      <c r="E193" s="59">
        <f>IFERROR(INDEX(Productos!$D$5:$D$124,MATCH($C193,Productos!$A$5:$A$124,0)),"")</f>
        <v/>
      </c>
      <c r="F193" s="186" t="n">
        <v>1</v>
      </c>
      <c r="G193" s="68">
        <f>IFERROR(INDEX(Productos!$H$5:$H$124,MATCH($C193,Productos!$A$5:$A$124,0)),"")</f>
        <v/>
      </c>
      <c r="H193" s="185" t="n">
        <v>0.07291666666666663</v>
      </c>
      <c r="I193" s="68">
        <f>IFERROR($G193*(1-$H193),"")</f>
        <v/>
      </c>
      <c r="J193" s="182" t="inlineStr">
        <is>
          <t>Tarjeta</t>
        </is>
      </c>
      <c r="K193" s="69">
        <f>IF($J193="",0,IF($J193="Contado",Inicio!$C$26,IF($J193="Tarjeta",Inicio!$C$27,IF($J193="Crédito propio",Inicio!$C$28,0))))</f>
        <v/>
      </c>
      <c r="L193" s="68">
        <f>IFERROR($F193*$I193,"")</f>
        <v/>
      </c>
      <c r="M193" s="68">
        <f>IFERROR($F193*INDEX(Productos!$G$5:$G$124,MATCH($C193,Productos!$A$5:$A$124,0)),"")</f>
        <v/>
      </c>
      <c r="N193" s="68">
        <f>IFERROR($L193*$K193,"")</f>
        <v/>
      </c>
      <c r="O193" s="68">
        <f>IFERROR($L193-$M193,"")</f>
        <v/>
      </c>
      <c r="P193" s="68">
        <f>IFERROR($O193-$N193,"")</f>
        <v/>
      </c>
      <c r="Q193" s="69">
        <f>IFERROR($P193/$L193,"")</f>
        <v/>
      </c>
    </row>
    <row r="194" ht="15" customHeight="1" s="47">
      <c r="A194" s="183" t="n">
        <v>46206</v>
      </c>
      <c r="B194" s="182" t="inlineStr">
        <is>
          <t>T03</t>
        </is>
      </c>
      <c r="C194" s="182" t="inlineStr">
        <is>
          <t>EL-019</t>
        </is>
      </c>
      <c r="D194" s="59">
        <f>IFERROR(INDEX(Productos!$B$5:$B$124,MATCH($C194,Productos!$A$5:$A$124,0)),"")</f>
        <v/>
      </c>
      <c r="E194" s="59">
        <f>IFERROR(INDEX(Productos!$D$5:$D$124,MATCH($C194,Productos!$A$5:$A$124,0)),"")</f>
        <v/>
      </c>
      <c r="F194" s="186" t="n">
        <v>1</v>
      </c>
      <c r="G194" s="68">
        <f>IFERROR(INDEX(Productos!$H$5:$H$124,MATCH($C194,Productos!$A$5:$A$124,0)),"")</f>
        <v/>
      </c>
      <c r="H194" s="185" t="n">
        <v>0</v>
      </c>
      <c r="I194" s="68">
        <f>IFERROR($G194*(1-$H194),"")</f>
        <v/>
      </c>
      <c r="J194" s="182" t="inlineStr">
        <is>
          <t>Tarjeta</t>
        </is>
      </c>
      <c r="K194" s="69">
        <f>IF($J194="",0,IF($J194="Contado",Inicio!$C$26,IF($J194="Tarjeta",Inicio!$C$27,IF($J194="Crédito propio",Inicio!$C$28,0))))</f>
        <v/>
      </c>
      <c r="L194" s="68">
        <f>IFERROR($F194*$I194,"")</f>
        <v/>
      </c>
      <c r="M194" s="68">
        <f>IFERROR($F194*INDEX(Productos!$G$5:$G$124,MATCH($C194,Productos!$A$5:$A$124,0)),"")</f>
        <v/>
      </c>
      <c r="N194" s="68">
        <f>IFERROR($L194*$K194,"")</f>
        <v/>
      </c>
      <c r="O194" s="68">
        <f>IFERROR($L194-$M194,"")</f>
        <v/>
      </c>
      <c r="P194" s="68">
        <f>IFERROR($O194-$N194,"")</f>
        <v/>
      </c>
      <c r="Q194" s="69">
        <f>IFERROR($P194/$L194,"")</f>
        <v/>
      </c>
    </row>
    <row r="195" ht="15" customHeight="1" s="47">
      <c r="A195" s="183" t="n">
        <v>46206</v>
      </c>
      <c r="B195" s="182" t="inlineStr">
        <is>
          <t>T03</t>
        </is>
      </c>
      <c r="C195" s="182" t="inlineStr">
        <is>
          <t>EL-025</t>
        </is>
      </c>
      <c r="D195" s="59">
        <f>IFERROR(INDEX(Productos!$B$5:$B$124,MATCH($C195,Productos!$A$5:$A$124,0)),"")</f>
        <v/>
      </c>
      <c r="E195" s="59">
        <f>IFERROR(INDEX(Productos!$D$5:$D$124,MATCH($C195,Productos!$A$5:$A$124,0)),"")</f>
        <v/>
      </c>
      <c r="F195" s="186" t="n">
        <v>1</v>
      </c>
      <c r="G195" s="68">
        <f>IFERROR(INDEX(Productos!$H$5:$H$124,MATCH($C195,Productos!$A$5:$A$124,0)),"")</f>
        <v/>
      </c>
      <c r="H195" s="185" t="n">
        <v>0.07079646017699115</v>
      </c>
      <c r="I195" s="68">
        <f>IFERROR($G195*(1-$H195),"")</f>
        <v/>
      </c>
      <c r="J195" s="182" t="inlineStr">
        <is>
          <t>Tarjeta</t>
        </is>
      </c>
      <c r="K195" s="69">
        <f>IF($J195="",0,IF($J195="Contado",Inicio!$C$26,IF($J195="Tarjeta",Inicio!$C$27,IF($J195="Crédito propio",Inicio!$C$28,0))))</f>
        <v/>
      </c>
      <c r="L195" s="68">
        <f>IFERROR($F195*$I195,"")</f>
        <v/>
      </c>
      <c r="M195" s="68">
        <f>IFERROR($F195*INDEX(Productos!$G$5:$G$124,MATCH($C195,Productos!$A$5:$A$124,0)),"")</f>
        <v/>
      </c>
      <c r="N195" s="68">
        <f>IFERROR($L195*$K195,"")</f>
        <v/>
      </c>
      <c r="O195" s="68">
        <f>IFERROR($L195-$M195,"")</f>
        <v/>
      </c>
      <c r="P195" s="68">
        <f>IFERROR($O195-$N195,"")</f>
        <v/>
      </c>
      <c r="Q195" s="69">
        <f>IFERROR($P195/$L195,"")</f>
        <v/>
      </c>
    </row>
    <row r="196" ht="15" customHeight="1" s="47">
      <c r="A196" s="183" t="n">
        <v>46206</v>
      </c>
      <c r="B196" s="182" t="inlineStr">
        <is>
          <t>T03</t>
        </is>
      </c>
      <c r="C196" s="182" t="inlineStr">
        <is>
          <t>EL-036</t>
        </is>
      </c>
      <c r="D196" s="59">
        <f>IFERROR(INDEX(Productos!$B$5:$B$124,MATCH($C196,Productos!$A$5:$A$124,0)),"")</f>
        <v/>
      </c>
      <c r="E196" s="59">
        <f>IFERROR(INDEX(Productos!$D$5:$D$124,MATCH($C196,Productos!$A$5:$A$124,0)),"")</f>
        <v/>
      </c>
      <c r="F196" s="186" t="n">
        <v>1</v>
      </c>
      <c r="G196" s="68">
        <f>IFERROR(INDEX(Productos!$H$5:$H$124,MATCH($C196,Productos!$A$5:$A$124,0)),"")</f>
        <v/>
      </c>
      <c r="H196" s="185" t="n">
        <v>0.06349206349206349</v>
      </c>
      <c r="I196" s="68">
        <f>IFERROR($G196*(1-$H196),"")</f>
        <v/>
      </c>
      <c r="J196" s="182" t="inlineStr">
        <is>
          <t>Tarjeta</t>
        </is>
      </c>
      <c r="K196" s="69">
        <f>IF($J196="",0,IF($J196="Contado",Inicio!$C$26,IF($J196="Tarjeta",Inicio!$C$27,IF($J196="Crédito propio",Inicio!$C$28,0))))</f>
        <v/>
      </c>
      <c r="L196" s="68">
        <f>IFERROR($F196*$I196,"")</f>
        <v/>
      </c>
      <c r="M196" s="68">
        <f>IFERROR($F196*INDEX(Productos!$G$5:$G$124,MATCH($C196,Productos!$A$5:$A$124,0)),"")</f>
        <v/>
      </c>
      <c r="N196" s="68">
        <f>IFERROR($L196*$K196,"")</f>
        <v/>
      </c>
      <c r="O196" s="68">
        <f>IFERROR($L196-$M196,"")</f>
        <v/>
      </c>
      <c r="P196" s="68">
        <f>IFERROR($O196-$N196,"")</f>
        <v/>
      </c>
      <c r="Q196" s="69">
        <f>IFERROR($P196/$L196,"")</f>
        <v/>
      </c>
    </row>
    <row r="197" ht="15" customHeight="1" s="47">
      <c r="A197" s="183" t="n">
        <v>46206</v>
      </c>
      <c r="B197" s="182" t="inlineStr">
        <is>
          <t>T03</t>
        </is>
      </c>
      <c r="C197" s="182" t="inlineStr">
        <is>
          <t>EL-044</t>
        </is>
      </c>
      <c r="D197" s="59">
        <f>IFERROR(INDEX(Productos!$B$5:$B$124,MATCH($C197,Productos!$A$5:$A$124,0)),"")</f>
        <v/>
      </c>
      <c r="E197" s="59">
        <f>IFERROR(INDEX(Productos!$D$5:$D$124,MATCH($C197,Productos!$A$5:$A$124,0)),"")</f>
        <v/>
      </c>
      <c r="F197" s="186" t="n">
        <v>2</v>
      </c>
      <c r="G197" s="68">
        <f>IFERROR(INDEX(Productos!$H$5:$H$124,MATCH($C197,Productos!$A$5:$A$124,0)),"")</f>
        <v/>
      </c>
      <c r="H197" s="185" t="n">
        <v>0.05</v>
      </c>
      <c r="I197" s="68">
        <f>IFERROR($G197*(1-$H197),"")</f>
        <v/>
      </c>
      <c r="J197" s="182" t="inlineStr">
        <is>
          <t>Tarjeta</t>
        </is>
      </c>
      <c r="K197" s="69">
        <f>IF($J197="",0,IF($J197="Contado",Inicio!$C$26,IF($J197="Tarjeta",Inicio!$C$27,IF($J197="Crédito propio",Inicio!$C$28,0))))</f>
        <v/>
      </c>
      <c r="L197" s="68">
        <f>IFERROR($F197*$I197,"")</f>
        <v/>
      </c>
      <c r="M197" s="68">
        <f>IFERROR($F197*INDEX(Productos!$G$5:$G$124,MATCH($C197,Productos!$A$5:$A$124,0)),"")</f>
        <v/>
      </c>
      <c r="N197" s="68">
        <f>IFERROR($L197*$K197,"")</f>
        <v/>
      </c>
      <c r="O197" s="68">
        <f>IFERROR($L197-$M197,"")</f>
        <v/>
      </c>
      <c r="P197" s="68">
        <f>IFERROR($O197-$N197,"")</f>
        <v/>
      </c>
      <c r="Q197" s="69">
        <f>IFERROR($P197/$L197,"")</f>
        <v/>
      </c>
    </row>
    <row r="198" ht="15" customHeight="1" s="47">
      <c r="A198" s="183" t="n">
        <v>46206</v>
      </c>
      <c r="B198" s="182" t="inlineStr">
        <is>
          <t>T03</t>
        </is>
      </c>
      <c r="C198" s="182" t="inlineStr">
        <is>
          <t>EL-049</t>
        </is>
      </c>
      <c r="D198" s="59">
        <f>IFERROR(INDEX(Productos!$B$5:$B$124,MATCH($C198,Productos!$A$5:$A$124,0)),"")</f>
        <v/>
      </c>
      <c r="E198" s="59">
        <f>IFERROR(INDEX(Productos!$D$5:$D$124,MATCH($C198,Productos!$A$5:$A$124,0)),"")</f>
        <v/>
      </c>
      <c r="F198" s="186" t="n">
        <v>1</v>
      </c>
      <c r="G198" s="68">
        <f>IFERROR(INDEX(Productos!$H$5:$H$124,MATCH($C198,Productos!$A$5:$A$124,0)),"")</f>
        <v/>
      </c>
      <c r="H198" s="185" t="n">
        <v>0.07185628742514971</v>
      </c>
      <c r="I198" s="68">
        <f>IFERROR($G198*(1-$H198),"")</f>
        <v/>
      </c>
      <c r="J198" s="182" t="inlineStr">
        <is>
          <t>Tarjeta</t>
        </is>
      </c>
      <c r="K198" s="69">
        <f>IF($J198="",0,IF($J198="Contado",Inicio!$C$26,IF($J198="Tarjeta",Inicio!$C$27,IF($J198="Crédito propio",Inicio!$C$28,0))))</f>
        <v/>
      </c>
      <c r="L198" s="68">
        <f>IFERROR($F198*$I198,"")</f>
        <v/>
      </c>
      <c r="M198" s="68">
        <f>IFERROR($F198*INDEX(Productos!$G$5:$G$124,MATCH($C198,Productos!$A$5:$A$124,0)),"")</f>
        <v/>
      </c>
      <c r="N198" s="68">
        <f>IFERROR($L198*$K198,"")</f>
        <v/>
      </c>
      <c r="O198" s="68">
        <f>IFERROR($L198-$M198,"")</f>
        <v/>
      </c>
      <c r="P198" s="68">
        <f>IFERROR($O198-$N198,"")</f>
        <v/>
      </c>
      <c r="Q198" s="69">
        <f>IFERROR($P198/$L198,"")</f>
        <v/>
      </c>
    </row>
    <row r="199" ht="15" customHeight="1" s="47">
      <c r="A199" s="183" t="n">
        <v>46206</v>
      </c>
      <c r="B199" s="182" t="inlineStr">
        <is>
          <t>T04</t>
        </is>
      </c>
      <c r="C199" s="182" t="inlineStr">
        <is>
          <t>EL-007</t>
        </is>
      </c>
      <c r="D199" s="59">
        <f>IFERROR(INDEX(Productos!$B$5:$B$124,MATCH($C199,Productos!$A$5:$A$124,0)),"")</f>
        <v/>
      </c>
      <c r="E199" s="59">
        <f>IFERROR(INDEX(Productos!$D$5:$D$124,MATCH($C199,Productos!$A$5:$A$124,0)),"")</f>
        <v/>
      </c>
      <c r="F199" s="186" t="n">
        <v>1</v>
      </c>
      <c r="G199" s="68">
        <f>IFERROR(INDEX(Productos!$H$5:$H$124,MATCH($C199,Productos!$A$5:$A$124,0)),"")</f>
        <v/>
      </c>
      <c r="H199" s="185" t="n">
        <v>0</v>
      </c>
      <c r="I199" s="68">
        <f>IFERROR($G199*(1-$H199),"")</f>
        <v/>
      </c>
      <c r="J199" s="182" t="inlineStr">
        <is>
          <t>Tarjeta</t>
        </is>
      </c>
      <c r="K199" s="69">
        <f>IF($J199="",0,IF($J199="Contado",Inicio!$C$26,IF($J199="Tarjeta",Inicio!$C$27,IF($J199="Crédito propio",Inicio!$C$28,0))))</f>
        <v/>
      </c>
      <c r="L199" s="68">
        <f>IFERROR($F199*$I199,"")</f>
        <v/>
      </c>
      <c r="M199" s="68">
        <f>IFERROR($F199*INDEX(Productos!$G$5:$G$124,MATCH($C199,Productos!$A$5:$A$124,0)),"")</f>
        <v/>
      </c>
      <c r="N199" s="68">
        <f>IFERROR($L199*$K199,"")</f>
        <v/>
      </c>
      <c r="O199" s="68">
        <f>IFERROR($L199-$M199,"")</f>
        <v/>
      </c>
      <c r="P199" s="68">
        <f>IFERROR($O199-$N199,"")</f>
        <v/>
      </c>
      <c r="Q199" s="69">
        <f>IFERROR($P199/$L199,"")</f>
        <v/>
      </c>
    </row>
    <row r="200" ht="15" customHeight="1" s="47">
      <c r="A200" s="183" t="n">
        <v>46206</v>
      </c>
      <c r="B200" s="182" t="inlineStr">
        <is>
          <t>T04</t>
        </is>
      </c>
      <c r="C200" s="182" t="inlineStr">
        <is>
          <t>EL-013</t>
        </is>
      </c>
      <c r="D200" s="59">
        <f>IFERROR(INDEX(Productos!$B$5:$B$124,MATCH($C200,Productos!$A$5:$A$124,0)),"")</f>
        <v/>
      </c>
      <c r="E200" s="59">
        <f>IFERROR(INDEX(Productos!$D$5:$D$124,MATCH($C200,Productos!$A$5:$A$124,0)),"")</f>
        <v/>
      </c>
      <c r="F200" s="186" t="n">
        <v>1</v>
      </c>
      <c r="G200" s="68">
        <f>IFERROR(INDEX(Productos!$H$5:$H$124,MATCH($C200,Productos!$A$5:$A$124,0)),"")</f>
        <v/>
      </c>
      <c r="H200" s="185" t="n">
        <v>0.03</v>
      </c>
      <c r="I200" s="68">
        <f>IFERROR($G200*(1-$H200),"")</f>
        <v/>
      </c>
      <c r="J200" s="182" t="inlineStr">
        <is>
          <t>Tarjeta</t>
        </is>
      </c>
      <c r="K200" s="69">
        <f>IF($J200="",0,IF($J200="Contado",Inicio!$C$26,IF($J200="Tarjeta",Inicio!$C$27,IF($J200="Crédito propio",Inicio!$C$28,0))))</f>
        <v/>
      </c>
      <c r="L200" s="68">
        <f>IFERROR($F200*$I200,"")</f>
        <v/>
      </c>
      <c r="M200" s="68">
        <f>IFERROR($F200*INDEX(Productos!$G$5:$G$124,MATCH($C200,Productos!$A$5:$A$124,0)),"")</f>
        <v/>
      </c>
      <c r="N200" s="68">
        <f>IFERROR($L200*$K200,"")</f>
        <v/>
      </c>
      <c r="O200" s="68">
        <f>IFERROR($L200-$M200,"")</f>
        <v/>
      </c>
      <c r="P200" s="68">
        <f>IFERROR($O200-$N200,"")</f>
        <v/>
      </c>
      <c r="Q200" s="69">
        <f>IFERROR($P200/$L200,"")</f>
        <v/>
      </c>
    </row>
    <row r="201" ht="15" customHeight="1" s="47">
      <c r="A201" s="183" t="n">
        <v>46206</v>
      </c>
      <c r="B201" s="182" t="inlineStr">
        <is>
          <t>T04</t>
        </is>
      </c>
      <c r="C201" s="182" t="inlineStr">
        <is>
          <t>EL-020</t>
        </is>
      </c>
      <c r="D201" s="59">
        <f>IFERROR(INDEX(Productos!$B$5:$B$124,MATCH($C201,Productos!$A$5:$A$124,0)),"")</f>
        <v/>
      </c>
      <c r="E201" s="59">
        <f>IFERROR(INDEX(Productos!$D$5:$D$124,MATCH($C201,Productos!$A$5:$A$124,0)),"")</f>
        <v/>
      </c>
      <c r="F201" s="186" t="n">
        <v>1</v>
      </c>
      <c r="G201" s="68">
        <f>IFERROR(INDEX(Productos!$H$5:$H$124,MATCH($C201,Productos!$A$5:$A$124,0)),"")</f>
        <v/>
      </c>
      <c r="H201" s="185" t="n">
        <v>0</v>
      </c>
      <c r="I201" s="68">
        <f>IFERROR($G201*(1-$H201),"")</f>
        <v/>
      </c>
      <c r="J201" s="182" t="inlineStr">
        <is>
          <t>Crédito propio</t>
        </is>
      </c>
      <c r="K201" s="69">
        <f>IF($J201="",0,IF($J201="Contado",Inicio!$C$26,IF($J201="Tarjeta",Inicio!$C$27,IF($J201="Crédito propio",Inicio!$C$28,0))))</f>
        <v/>
      </c>
      <c r="L201" s="68">
        <f>IFERROR($F201*$I201,"")</f>
        <v/>
      </c>
      <c r="M201" s="68">
        <f>IFERROR($F201*INDEX(Productos!$G$5:$G$124,MATCH($C201,Productos!$A$5:$A$124,0)),"")</f>
        <v/>
      </c>
      <c r="N201" s="68">
        <f>IFERROR($L201*$K201,"")</f>
        <v/>
      </c>
      <c r="O201" s="68">
        <f>IFERROR($L201-$M201,"")</f>
        <v/>
      </c>
      <c r="P201" s="68">
        <f>IFERROR($O201-$N201,"")</f>
        <v/>
      </c>
      <c r="Q201" s="69">
        <f>IFERROR($P201/$L201,"")</f>
        <v/>
      </c>
    </row>
    <row r="202" ht="15" customHeight="1" s="47">
      <c r="A202" s="183" t="n">
        <v>46206</v>
      </c>
      <c r="B202" s="182" t="inlineStr">
        <is>
          <t>T04</t>
        </is>
      </c>
      <c r="C202" s="182" t="inlineStr">
        <is>
          <t>EL-024</t>
        </is>
      </c>
      <c r="D202" s="59">
        <f>IFERROR(INDEX(Productos!$B$5:$B$124,MATCH($C202,Productos!$A$5:$A$124,0)),"")</f>
        <v/>
      </c>
      <c r="E202" s="59">
        <f>IFERROR(INDEX(Productos!$D$5:$D$124,MATCH($C202,Productos!$A$5:$A$124,0)),"")</f>
        <v/>
      </c>
      <c r="F202" s="186" t="n">
        <v>1</v>
      </c>
      <c r="G202" s="68">
        <f>IFERROR(INDEX(Productos!$H$5:$H$124,MATCH($C202,Productos!$A$5:$A$124,0)),"")</f>
        <v/>
      </c>
      <c r="H202" s="185" t="n">
        <v>0.03</v>
      </c>
      <c r="I202" s="68">
        <f>IFERROR($G202*(1-$H202),"")</f>
        <v/>
      </c>
      <c r="J202" s="182" t="inlineStr">
        <is>
          <t>Contado</t>
        </is>
      </c>
      <c r="K202" s="69">
        <f>IF($J202="",0,IF($J202="Contado",Inicio!$C$26,IF($J202="Tarjeta",Inicio!$C$27,IF($J202="Crédito propio",Inicio!$C$28,0))))</f>
        <v/>
      </c>
      <c r="L202" s="68">
        <f>IFERROR($F202*$I202,"")</f>
        <v/>
      </c>
      <c r="M202" s="68">
        <f>IFERROR($F202*INDEX(Productos!$G$5:$G$124,MATCH($C202,Productos!$A$5:$A$124,0)),"")</f>
        <v/>
      </c>
      <c r="N202" s="68">
        <f>IFERROR($L202*$K202,"")</f>
        <v/>
      </c>
      <c r="O202" s="68">
        <f>IFERROR($L202-$M202,"")</f>
        <v/>
      </c>
      <c r="P202" s="68">
        <f>IFERROR($O202-$N202,"")</f>
        <v/>
      </c>
      <c r="Q202" s="69">
        <f>IFERROR($P202/$L202,"")</f>
        <v/>
      </c>
    </row>
    <row r="203" ht="15" customHeight="1" s="47">
      <c r="A203" s="183" t="n">
        <v>46206</v>
      </c>
      <c r="B203" s="182" t="inlineStr">
        <is>
          <t>T04</t>
        </is>
      </c>
      <c r="C203" s="182" t="inlineStr">
        <is>
          <t>EL-046</t>
        </is>
      </c>
      <c r="D203" s="59">
        <f>IFERROR(INDEX(Productos!$B$5:$B$124,MATCH($C203,Productos!$A$5:$A$124,0)),"")</f>
        <v/>
      </c>
      <c r="E203" s="59">
        <f>IFERROR(INDEX(Productos!$D$5:$D$124,MATCH($C203,Productos!$A$5:$A$124,0)),"")</f>
        <v/>
      </c>
      <c r="F203" s="186" t="n">
        <v>1</v>
      </c>
      <c r="G203" s="68">
        <f>IFERROR(INDEX(Productos!$H$5:$H$124,MATCH($C203,Productos!$A$5:$A$124,0)),"")</f>
        <v/>
      </c>
      <c r="H203" s="185" t="n">
        <v>0</v>
      </c>
      <c r="I203" s="68">
        <f>IFERROR($G203*(1-$H203),"")</f>
        <v/>
      </c>
      <c r="J203" s="182" t="inlineStr">
        <is>
          <t>Contado</t>
        </is>
      </c>
      <c r="K203" s="69">
        <f>IF($J203="",0,IF($J203="Contado",Inicio!$C$26,IF($J203="Tarjeta",Inicio!$C$27,IF($J203="Crédito propio",Inicio!$C$28,0))))</f>
        <v/>
      </c>
      <c r="L203" s="68">
        <f>IFERROR($F203*$I203,"")</f>
        <v/>
      </c>
      <c r="M203" s="68">
        <f>IFERROR($F203*INDEX(Productos!$G$5:$G$124,MATCH($C203,Productos!$A$5:$A$124,0)),"")</f>
        <v/>
      </c>
      <c r="N203" s="68">
        <f>IFERROR($L203*$K203,"")</f>
        <v/>
      </c>
      <c r="O203" s="68">
        <f>IFERROR($L203-$M203,"")</f>
        <v/>
      </c>
      <c r="P203" s="68">
        <f>IFERROR($O203-$N203,"")</f>
        <v/>
      </c>
      <c r="Q203" s="69">
        <f>IFERROR($P203/$L203,"")</f>
        <v/>
      </c>
    </row>
    <row r="204" ht="15" customHeight="1" s="47">
      <c r="A204" s="183" t="n">
        <v>46206</v>
      </c>
      <c r="B204" s="182" t="inlineStr">
        <is>
          <t>T05</t>
        </is>
      </c>
      <c r="C204" s="182" t="inlineStr">
        <is>
          <t>EL-001</t>
        </is>
      </c>
      <c r="D204" s="59">
        <f>IFERROR(INDEX(Productos!$B$5:$B$124,MATCH($C204,Productos!$A$5:$A$124,0)),"")</f>
        <v/>
      </c>
      <c r="E204" s="59">
        <f>IFERROR(INDEX(Productos!$D$5:$D$124,MATCH($C204,Productos!$A$5:$A$124,0)),"")</f>
        <v/>
      </c>
      <c r="F204" s="186" t="n">
        <v>1</v>
      </c>
      <c r="G204" s="68">
        <f>IFERROR(INDEX(Productos!$H$5:$H$124,MATCH($C204,Productos!$A$5:$A$124,0)),"")</f>
        <v/>
      </c>
      <c r="H204" s="185" t="n">
        <v>0</v>
      </c>
      <c r="I204" s="68">
        <f>IFERROR($G204*(1-$H204),"")</f>
        <v/>
      </c>
      <c r="J204" s="182" t="inlineStr">
        <is>
          <t>Crédito propio</t>
        </is>
      </c>
      <c r="K204" s="69">
        <f>IF($J204="",0,IF($J204="Contado",Inicio!$C$26,IF($J204="Tarjeta",Inicio!$C$27,IF($J204="Crédito propio",Inicio!$C$28,0))))</f>
        <v/>
      </c>
      <c r="L204" s="68">
        <f>IFERROR($F204*$I204,"")</f>
        <v/>
      </c>
      <c r="M204" s="68">
        <f>IFERROR($F204*INDEX(Productos!$G$5:$G$124,MATCH($C204,Productos!$A$5:$A$124,0)),"")</f>
        <v/>
      </c>
      <c r="N204" s="68">
        <f>IFERROR($L204*$K204,"")</f>
        <v/>
      </c>
      <c r="O204" s="68">
        <f>IFERROR($L204-$M204,"")</f>
        <v/>
      </c>
      <c r="P204" s="68">
        <f>IFERROR($O204-$N204,"")</f>
        <v/>
      </c>
      <c r="Q204" s="69">
        <f>IFERROR($P204/$L204,"")</f>
        <v/>
      </c>
    </row>
    <row r="205" ht="15" customHeight="1" s="47">
      <c r="A205" s="183" t="n">
        <v>46206</v>
      </c>
      <c r="B205" s="182" t="inlineStr">
        <is>
          <t>T05</t>
        </is>
      </c>
      <c r="C205" s="182" t="inlineStr">
        <is>
          <t>EL-006</t>
        </is>
      </c>
      <c r="D205" s="59">
        <f>IFERROR(INDEX(Productos!$B$5:$B$124,MATCH($C205,Productos!$A$5:$A$124,0)),"")</f>
        <v/>
      </c>
      <c r="E205" s="59">
        <f>IFERROR(INDEX(Productos!$D$5:$D$124,MATCH($C205,Productos!$A$5:$A$124,0)),"")</f>
        <v/>
      </c>
      <c r="F205" s="186" t="n">
        <v>1</v>
      </c>
      <c r="G205" s="68">
        <f>IFERROR(INDEX(Productos!$H$5:$H$124,MATCH($C205,Productos!$A$5:$A$124,0)),"")</f>
        <v/>
      </c>
      <c r="H205" s="185" t="n">
        <v>0</v>
      </c>
      <c r="I205" s="68">
        <f>IFERROR($G205*(1-$H205),"")</f>
        <v/>
      </c>
      <c r="J205" s="182" t="inlineStr">
        <is>
          <t>Tarjeta</t>
        </is>
      </c>
      <c r="K205" s="69">
        <f>IF($J205="",0,IF($J205="Contado",Inicio!$C$26,IF($J205="Tarjeta",Inicio!$C$27,IF($J205="Crédito propio",Inicio!$C$28,0))))</f>
        <v/>
      </c>
      <c r="L205" s="68">
        <f>IFERROR($F205*$I205,"")</f>
        <v/>
      </c>
      <c r="M205" s="68">
        <f>IFERROR($F205*INDEX(Productos!$G$5:$G$124,MATCH($C205,Productos!$A$5:$A$124,0)),"")</f>
        <v/>
      </c>
      <c r="N205" s="68">
        <f>IFERROR($L205*$K205,"")</f>
        <v/>
      </c>
      <c r="O205" s="68">
        <f>IFERROR($L205-$M205,"")</f>
        <v/>
      </c>
      <c r="P205" s="68">
        <f>IFERROR($O205-$N205,"")</f>
        <v/>
      </c>
      <c r="Q205" s="69">
        <f>IFERROR($P205/$L205,"")</f>
        <v/>
      </c>
    </row>
    <row r="206" ht="15" customHeight="1" s="47">
      <c r="A206" s="183" t="n">
        <v>46206</v>
      </c>
      <c r="B206" s="182" t="inlineStr">
        <is>
          <t>T05</t>
        </is>
      </c>
      <c r="C206" s="182" t="inlineStr">
        <is>
          <t>EL-007</t>
        </is>
      </c>
      <c r="D206" s="59">
        <f>IFERROR(INDEX(Productos!$B$5:$B$124,MATCH($C206,Productos!$A$5:$A$124,0)),"")</f>
        <v/>
      </c>
      <c r="E206" s="59">
        <f>IFERROR(INDEX(Productos!$D$5:$D$124,MATCH($C206,Productos!$A$5:$A$124,0)),"")</f>
        <v/>
      </c>
      <c r="F206" s="186" t="n">
        <v>1</v>
      </c>
      <c r="G206" s="68">
        <f>IFERROR(INDEX(Productos!$H$5:$H$124,MATCH($C206,Productos!$A$5:$A$124,0)),"")</f>
        <v/>
      </c>
      <c r="H206" s="185" t="n">
        <v>0.05</v>
      </c>
      <c r="I206" s="68">
        <f>IFERROR($G206*(1-$H206),"")</f>
        <v/>
      </c>
      <c r="J206" s="182" t="inlineStr">
        <is>
          <t>Tarjeta</t>
        </is>
      </c>
      <c r="K206" s="69">
        <f>IF($J206="",0,IF($J206="Contado",Inicio!$C$26,IF($J206="Tarjeta",Inicio!$C$27,IF($J206="Crédito propio",Inicio!$C$28,0))))</f>
        <v/>
      </c>
      <c r="L206" s="68">
        <f>IFERROR($F206*$I206,"")</f>
        <v/>
      </c>
      <c r="M206" s="68">
        <f>IFERROR($F206*INDEX(Productos!$G$5:$G$124,MATCH($C206,Productos!$A$5:$A$124,0)),"")</f>
        <v/>
      </c>
      <c r="N206" s="68">
        <f>IFERROR($L206*$K206,"")</f>
        <v/>
      </c>
      <c r="O206" s="68">
        <f>IFERROR($L206-$M206,"")</f>
        <v/>
      </c>
      <c r="P206" s="68">
        <f>IFERROR($O206-$N206,"")</f>
        <v/>
      </c>
      <c r="Q206" s="69">
        <f>IFERROR($P206/$L206,"")</f>
        <v/>
      </c>
    </row>
    <row r="207" ht="15" customHeight="1" s="47">
      <c r="A207" s="183" t="n">
        <v>46206</v>
      </c>
      <c r="B207" s="182" t="inlineStr">
        <is>
          <t>T05</t>
        </is>
      </c>
      <c r="C207" s="182" t="inlineStr">
        <is>
          <t>EL-024</t>
        </is>
      </c>
      <c r="D207" s="59">
        <f>IFERROR(INDEX(Productos!$B$5:$B$124,MATCH($C207,Productos!$A$5:$A$124,0)),"")</f>
        <v/>
      </c>
      <c r="E207" s="59">
        <f>IFERROR(INDEX(Productos!$D$5:$D$124,MATCH($C207,Productos!$A$5:$A$124,0)),"")</f>
        <v/>
      </c>
      <c r="F207" s="186" t="n">
        <v>1</v>
      </c>
      <c r="G207" s="68">
        <f>IFERROR(INDEX(Productos!$H$5:$H$124,MATCH($C207,Productos!$A$5:$A$124,0)),"")</f>
        <v/>
      </c>
      <c r="H207" s="185" t="n">
        <v>0.05</v>
      </c>
      <c r="I207" s="68">
        <f>IFERROR($G207*(1-$H207),"")</f>
        <v/>
      </c>
      <c r="J207" s="182" t="inlineStr">
        <is>
          <t>Contado</t>
        </is>
      </c>
      <c r="K207" s="69">
        <f>IF($J207="",0,IF($J207="Contado",Inicio!$C$26,IF($J207="Tarjeta",Inicio!$C$27,IF($J207="Crédito propio",Inicio!$C$28,0))))</f>
        <v/>
      </c>
      <c r="L207" s="68">
        <f>IFERROR($F207*$I207,"")</f>
        <v/>
      </c>
      <c r="M207" s="68">
        <f>IFERROR($F207*INDEX(Productos!$G$5:$G$124,MATCH($C207,Productos!$A$5:$A$124,0)),"")</f>
        <v/>
      </c>
      <c r="N207" s="68">
        <f>IFERROR($L207*$K207,"")</f>
        <v/>
      </c>
      <c r="O207" s="68">
        <f>IFERROR($L207-$M207,"")</f>
        <v/>
      </c>
      <c r="P207" s="68">
        <f>IFERROR($O207-$N207,"")</f>
        <v/>
      </c>
      <c r="Q207" s="69">
        <f>IFERROR($P207/$L207,"")</f>
        <v/>
      </c>
    </row>
    <row r="208" ht="15" customHeight="1" s="47">
      <c r="A208" s="183" t="n">
        <v>46206</v>
      </c>
      <c r="B208" s="182" t="inlineStr">
        <is>
          <t>T05</t>
        </is>
      </c>
      <c r="C208" s="182" t="inlineStr">
        <is>
          <t>EL-026</t>
        </is>
      </c>
      <c r="D208" s="59">
        <f>IFERROR(INDEX(Productos!$B$5:$B$124,MATCH($C208,Productos!$A$5:$A$124,0)),"")</f>
        <v/>
      </c>
      <c r="E208" s="59">
        <f>IFERROR(INDEX(Productos!$D$5:$D$124,MATCH($C208,Productos!$A$5:$A$124,0)),"")</f>
        <v/>
      </c>
      <c r="F208" s="186" t="n">
        <v>1</v>
      </c>
      <c r="G208" s="68">
        <f>IFERROR(INDEX(Productos!$H$5:$H$124,MATCH($C208,Productos!$A$5:$A$124,0)),"")</f>
        <v/>
      </c>
      <c r="H208" s="185" t="n">
        <v>0</v>
      </c>
      <c r="I208" s="68">
        <f>IFERROR($G208*(1-$H208),"")</f>
        <v/>
      </c>
      <c r="J208" s="182" t="inlineStr">
        <is>
          <t>Tarjeta</t>
        </is>
      </c>
      <c r="K208" s="69">
        <f>IF($J208="",0,IF($J208="Contado",Inicio!$C$26,IF($J208="Tarjeta",Inicio!$C$27,IF($J208="Crédito propio",Inicio!$C$28,0))))</f>
        <v/>
      </c>
      <c r="L208" s="68">
        <f>IFERROR($F208*$I208,"")</f>
        <v/>
      </c>
      <c r="M208" s="68">
        <f>IFERROR($F208*INDEX(Productos!$G$5:$G$124,MATCH($C208,Productos!$A$5:$A$124,0)),"")</f>
        <v/>
      </c>
      <c r="N208" s="68">
        <f>IFERROR($L208*$K208,"")</f>
        <v/>
      </c>
      <c r="O208" s="68">
        <f>IFERROR($L208-$M208,"")</f>
        <v/>
      </c>
      <c r="P208" s="68">
        <f>IFERROR($O208-$N208,"")</f>
        <v/>
      </c>
      <c r="Q208" s="69">
        <f>IFERROR($P208/$L208,"")</f>
        <v/>
      </c>
    </row>
    <row r="209" ht="15" customHeight="1" s="47">
      <c r="A209" s="183" t="n">
        <v>46206</v>
      </c>
      <c r="B209" s="182" t="inlineStr">
        <is>
          <t>T05</t>
        </is>
      </c>
      <c r="C209" s="182" t="inlineStr">
        <is>
          <t>EL-038</t>
        </is>
      </c>
      <c r="D209" s="59">
        <f>IFERROR(INDEX(Productos!$B$5:$B$124,MATCH($C209,Productos!$A$5:$A$124,0)),"")</f>
        <v/>
      </c>
      <c r="E209" s="59">
        <f>IFERROR(INDEX(Productos!$D$5:$D$124,MATCH($C209,Productos!$A$5:$A$124,0)),"")</f>
        <v/>
      </c>
      <c r="F209" s="186" t="n">
        <v>1</v>
      </c>
      <c r="G209" s="68">
        <f>IFERROR(INDEX(Productos!$H$5:$H$124,MATCH($C209,Productos!$A$5:$A$124,0)),"")</f>
        <v/>
      </c>
      <c r="H209" s="185" t="n">
        <v>0.06837606837606836</v>
      </c>
      <c r="I209" s="68">
        <f>IFERROR($G209*(1-$H209),"")</f>
        <v/>
      </c>
      <c r="J209" s="182" t="inlineStr">
        <is>
          <t>Tarjeta</t>
        </is>
      </c>
      <c r="K209" s="69">
        <f>IF($J209="",0,IF($J209="Contado",Inicio!$C$26,IF($J209="Tarjeta",Inicio!$C$27,IF($J209="Crédito propio",Inicio!$C$28,0))))</f>
        <v/>
      </c>
      <c r="L209" s="68">
        <f>IFERROR($F209*$I209,"")</f>
        <v/>
      </c>
      <c r="M209" s="68">
        <f>IFERROR($F209*INDEX(Productos!$G$5:$G$124,MATCH($C209,Productos!$A$5:$A$124,0)),"")</f>
        <v/>
      </c>
      <c r="N209" s="68">
        <f>IFERROR($L209*$K209,"")</f>
        <v/>
      </c>
      <c r="O209" s="68">
        <f>IFERROR($L209-$M209,"")</f>
        <v/>
      </c>
      <c r="P209" s="68">
        <f>IFERROR($O209-$N209,"")</f>
        <v/>
      </c>
      <c r="Q209" s="69">
        <f>IFERROR($P209/$L209,"")</f>
        <v/>
      </c>
    </row>
    <row r="210" ht="15" customHeight="1" s="47">
      <c r="A210" s="183" t="n">
        <v>46206</v>
      </c>
      <c r="B210" s="182" t="inlineStr">
        <is>
          <t>T05</t>
        </is>
      </c>
      <c r="C210" s="182" t="inlineStr">
        <is>
          <t>EL-046</t>
        </is>
      </c>
      <c r="D210" s="59">
        <f>IFERROR(INDEX(Productos!$B$5:$B$124,MATCH($C210,Productos!$A$5:$A$124,0)),"")</f>
        <v/>
      </c>
      <c r="E210" s="59">
        <f>IFERROR(INDEX(Productos!$D$5:$D$124,MATCH($C210,Productos!$A$5:$A$124,0)),"")</f>
        <v/>
      </c>
      <c r="F210" s="186" t="n">
        <v>1</v>
      </c>
      <c r="G210" s="68">
        <f>IFERROR(INDEX(Productos!$H$5:$H$124,MATCH($C210,Productos!$A$5:$A$124,0)),"")</f>
        <v/>
      </c>
      <c r="H210" s="185" t="n">
        <v>0</v>
      </c>
      <c r="I210" s="68">
        <f>IFERROR($G210*(1-$H210),"")</f>
        <v/>
      </c>
      <c r="J210" s="182" t="inlineStr">
        <is>
          <t>Crédito propio</t>
        </is>
      </c>
      <c r="K210" s="69">
        <f>IF($J210="",0,IF($J210="Contado",Inicio!$C$26,IF($J210="Tarjeta",Inicio!$C$27,IF($J210="Crédito propio",Inicio!$C$28,0))))</f>
        <v/>
      </c>
      <c r="L210" s="68">
        <f>IFERROR($F210*$I210,"")</f>
        <v/>
      </c>
      <c r="M210" s="68">
        <f>IFERROR($F210*INDEX(Productos!$G$5:$G$124,MATCH($C210,Productos!$A$5:$A$124,0)),"")</f>
        <v/>
      </c>
      <c r="N210" s="68">
        <f>IFERROR($L210*$K210,"")</f>
        <v/>
      </c>
      <c r="O210" s="68">
        <f>IFERROR($L210-$M210,"")</f>
        <v/>
      </c>
      <c r="P210" s="68">
        <f>IFERROR($O210-$N210,"")</f>
        <v/>
      </c>
      <c r="Q210" s="69">
        <f>IFERROR($P210/$L210,"")</f>
        <v/>
      </c>
    </row>
    <row r="211" ht="15" customHeight="1" s="47">
      <c r="A211" s="183" t="n">
        <v>46206</v>
      </c>
      <c r="B211" s="182" t="inlineStr">
        <is>
          <t>T05</t>
        </is>
      </c>
      <c r="C211" s="182" t="inlineStr">
        <is>
          <t>EL-048</t>
        </is>
      </c>
      <c r="D211" s="59">
        <f>IFERROR(INDEX(Productos!$B$5:$B$124,MATCH($C211,Productos!$A$5:$A$124,0)),"")</f>
        <v/>
      </c>
      <c r="E211" s="59">
        <f>IFERROR(INDEX(Productos!$D$5:$D$124,MATCH($C211,Productos!$A$5:$A$124,0)),"")</f>
        <v/>
      </c>
      <c r="F211" s="186" t="n">
        <v>2</v>
      </c>
      <c r="G211" s="68">
        <f>IFERROR(INDEX(Productos!$H$5:$H$124,MATCH($C211,Productos!$A$5:$A$124,0)),"")</f>
        <v/>
      </c>
      <c r="H211" s="185" t="n">
        <v>0.07099999999999999</v>
      </c>
      <c r="I211" s="68">
        <f>IFERROR($G211*(1-$H211),"")</f>
        <v/>
      </c>
      <c r="J211" s="182" t="inlineStr">
        <is>
          <t>Tarjeta</t>
        </is>
      </c>
      <c r="K211" s="69">
        <f>IF($J211="",0,IF($J211="Contado",Inicio!$C$26,IF($J211="Tarjeta",Inicio!$C$27,IF($J211="Crédito propio",Inicio!$C$28,0))))</f>
        <v/>
      </c>
      <c r="L211" s="68">
        <f>IFERROR($F211*$I211,"")</f>
        <v/>
      </c>
      <c r="M211" s="68">
        <f>IFERROR($F211*INDEX(Productos!$G$5:$G$124,MATCH($C211,Productos!$A$5:$A$124,0)),"")</f>
        <v/>
      </c>
      <c r="N211" s="68">
        <f>IFERROR($L211*$K211,"")</f>
        <v/>
      </c>
      <c r="O211" s="68">
        <f>IFERROR($L211-$M211,"")</f>
        <v/>
      </c>
      <c r="P211" s="68">
        <f>IFERROR($O211-$N211,"")</f>
        <v/>
      </c>
      <c r="Q211" s="69">
        <f>IFERROR($P211/$L211,"")</f>
        <v/>
      </c>
    </row>
    <row r="212" ht="15" customHeight="1" s="47">
      <c r="A212" s="183" t="n">
        <v>46206</v>
      </c>
      <c r="B212" s="182" t="inlineStr">
        <is>
          <t>T06</t>
        </is>
      </c>
      <c r="C212" s="182" t="inlineStr">
        <is>
          <t>EL-008</t>
        </is>
      </c>
      <c r="D212" s="59">
        <f>IFERROR(INDEX(Productos!$B$5:$B$124,MATCH($C212,Productos!$A$5:$A$124,0)),"")</f>
        <v/>
      </c>
      <c r="E212" s="59">
        <f>IFERROR(INDEX(Productos!$D$5:$D$124,MATCH($C212,Productos!$A$5:$A$124,0)),"")</f>
        <v/>
      </c>
      <c r="F212" s="186" t="n">
        <v>1</v>
      </c>
      <c r="G212" s="68">
        <f>IFERROR(INDEX(Productos!$H$5:$H$124,MATCH($C212,Productos!$A$5:$A$124,0)),"")</f>
        <v/>
      </c>
      <c r="H212" s="185" t="n">
        <v>0.03</v>
      </c>
      <c r="I212" s="68">
        <f>IFERROR($G212*(1-$H212),"")</f>
        <v/>
      </c>
      <c r="J212" s="182" t="inlineStr">
        <is>
          <t>Crédito propio</t>
        </is>
      </c>
      <c r="K212" s="69">
        <f>IF($J212="",0,IF($J212="Contado",Inicio!$C$26,IF($J212="Tarjeta",Inicio!$C$27,IF($J212="Crédito propio",Inicio!$C$28,0))))</f>
        <v/>
      </c>
      <c r="L212" s="68">
        <f>IFERROR($F212*$I212,"")</f>
        <v/>
      </c>
      <c r="M212" s="68">
        <f>IFERROR($F212*INDEX(Productos!$G$5:$G$124,MATCH($C212,Productos!$A$5:$A$124,0)),"")</f>
        <v/>
      </c>
      <c r="N212" s="68">
        <f>IFERROR($L212*$K212,"")</f>
        <v/>
      </c>
      <c r="O212" s="68">
        <f>IFERROR($L212-$M212,"")</f>
        <v/>
      </c>
      <c r="P212" s="68">
        <f>IFERROR($O212-$N212,"")</f>
        <v/>
      </c>
      <c r="Q212" s="69">
        <f>IFERROR($P212/$L212,"")</f>
        <v/>
      </c>
    </row>
    <row r="213" ht="15" customHeight="1" s="47">
      <c r="A213" s="183" t="n">
        <v>46206</v>
      </c>
      <c r="B213" s="182" t="inlineStr">
        <is>
          <t>T06</t>
        </is>
      </c>
      <c r="C213" s="182" t="inlineStr">
        <is>
          <t>EL-018</t>
        </is>
      </c>
      <c r="D213" s="59">
        <f>IFERROR(INDEX(Productos!$B$5:$B$124,MATCH($C213,Productos!$A$5:$A$124,0)),"")</f>
        <v/>
      </c>
      <c r="E213" s="59">
        <f>IFERROR(INDEX(Productos!$D$5:$D$124,MATCH($C213,Productos!$A$5:$A$124,0)),"")</f>
        <v/>
      </c>
      <c r="F213" s="186" t="n">
        <v>1</v>
      </c>
      <c r="G213" s="68">
        <f>IFERROR(INDEX(Productos!$H$5:$H$124,MATCH($C213,Productos!$A$5:$A$124,0)),"")</f>
        <v/>
      </c>
      <c r="H213" s="185" t="n">
        <v>0.03</v>
      </c>
      <c r="I213" s="68">
        <f>IFERROR($G213*(1-$H213),"")</f>
        <v/>
      </c>
      <c r="J213" s="182" t="inlineStr">
        <is>
          <t>Tarjeta</t>
        </is>
      </c>
      <c r="K213" s="69">
        <f>IF($J213="",0,IF($J213="Contado",Inicio!$C$26,IF($J213="Tarjeta",Inicio!$C$27,IF($J213="Crédito propio",Inicio!$C$28,0))))</f>
        <v/>
      </c>
      <c r="L213" s="68">
        <f>IFERROR($F213*$I213,"")</f>
        <v/>
      </c>
      <c r="M213" s="68">
        <f>IFERROR($F213*INDEX(Productos!$G$5:$G$124,MATCH($C213,Productos!$A$5:$A$124,0)),"")</f>
        <v/>
      </c>
      <c r="N213" s="68">
        <f>IFERROR($L213*$K213,"")</f>
        <v/>
      </c>
      <c r="O213" s="68">
        <f>IFERROR($L213-$M213,"")</f>
        <v/>
      </c>
      <c r="P213" s="68">
        <f>IFERROR($O213-$N213,"")</f>
        <v/>
      </c>
      <c r="Q213" s="69">
        <f>IFERROR($P213/$L213,"")</f>
        <v/>
      </c>
    </row>
    <row r="214" ht="15" customHeight="1" s="47">
      <c r="A214" s="183" t="n">
        <v>46206</v>
      </c>
      <c r="B214" s="182" t="inlineStr">
        <is>
          <t>T06</t>
        </is>
      </c>
      <c r="C214" s="182" t="inlineStr">
        <is>
          <t>EL-026</t>
        </is>
      </c>
      <c r="D214" s="59">
        <f>IFERROR(INDEX(Productos!$B$5:$B$124,MATCH($C214,Productos!$A$5:$A$124,0)),"")</f>
        <v/>
      </c>
      <c r="E214" s="59">
        <f>IFERROR(INDEX(Productos!$D$5:$D$124,MATCH($C214,Productos!$A$5:$A$124,0)),"")</f>
        <v/>
      </c>
      <c r="F214" s="186" t="n">
        <v>1</v>
      </c>
      <c r="G214" s="68">
        <f>IFERROR(INDEX(Productos!$H$5:$H$124,MATCH($C214,Productos!$A$5:$A$124,0)),"")</f>
        <v/>
      </c>
      <c r="H214" s="185" t="n">
        <v>0.05</v>
      </c>
      <c r="I214" s="68">
        <f>IFERROR($G214*(1-$H214),"")</f>
        <v/>
      </c>
      <c r="J214" s="182" t="inlineStr">
        <is>
          <t>Crédito propio</t>
        </is>
      </c>
      <c r="K214" s="69">
        <f>IF($J214="",0,IF($J214="Contado",Inicio!$C$26,IF($J214="Tarjeta",Inicio!$C$27,IF($J214="Crédito propio",Inicio!$C$28,0))))</f>
        <v/>
      </c>
      <c r="L214" s="68">
        <f>IFERROR($F214*$I214,"")</f>
        <v/>
      </c>
      <c r="M214" s="68">
        <f>IFERROR($F214*INDEX(Productos!$G$5:$G$124,MATCH($C214,Productos!$A$5:$A$124,0)),"")</f>
        <v/>
      </c>
      <c r="N214" s="68">
        <f>IFERROR($L214*$K214,"")</f>
        <v/>
      </c>
      <c r="O214" s="68">
        <f>IFERROR($L214-$M214,"")</f>
        <v/>
      </c>
      <c r="P214" s="68">
        <f>IFERROR($O214-$N214,"")</f>
        <v/>
      </c>
      <c r="Q214" s="69">
        <f>IFERROR($P214/$L214,"")</f>
        <v/>
      </c>
    </row>
    <row r="215" ht="15" customHeight="1" s="47">
      <c r="A215" s="183" t="n">
        <v>46206</v>
      </c>
      <c r="B215" s="182" t="inlineStr">
        <is>
          <t>T06</t>
        </is>
      </c>
      <c r="C215" s="182" t="inlineStr">
        <is>
          <t>EL-039</t>
        </is>
      </c>
      <c r="D215" s="59">
        <f>IFERROR(INDEX(Productos!$B$5:$B$124,MATCH($C215,Productos!$A$5:$A$124,0)),"")</f>
        <v/>
      </c>
      <c r="E215" s="59">
        <f>IFERROR(INDEX(Productos!$D$5:$D$124,MATCH($C215,Productos!$A$5:$A$124,0)),"")</f>
        <v/>
      </c>
      <c r="F215" s="186" t="n">
        <v>1</v>
      </c>
      <c r="G215" s="68">
        <f>IFERROR(INDEX(Productos!$H$5:$H$124,MATCH($C215,Productos!$A$5:$A$124,0)),"")</f>
        <v/>
      </c>
      <c r="H215" s="185" t="n">
        <v>0.069620253164557</v>
      </c>
      <c r="I215" s="68">
        <f>IFERROR($G215*(1-$H215),"")</f>
        <v/>
      </c>
      <c r="J215" s="182" t="inlineStr">
        <is>
          <t>Crédito propio</t>
        </is>
      </c>
      <c r="K215" s="69">
        <f>IF($J215="",0,IF($J215="Contado",Inicio!$C$26,IF($J215="Tarjeta",Inicio!$C$27,IF($J215="Crédito propio",Inicio!$C$28,0))))</f>
        <v/>
      </c>
      <c r="L215" s="68">
        <f>IFERROR($F215*$I215,"")</f>
        <v/>
      </c>
      <c r="M215" s="68">
        <f>IFERROR($F215*INDEX(Productos!$G$5:$G$124,MATCH($C215,Productos!$A$5:$A$124,0)),"")</f>
        <v/>
      </c>
      <c r="N215" s="68">
        <f>IFERROR($L215*$K215,"")</f>
        <v/>
      </c>
      <c r="O215" s="68">
        <f>IFERROR($L215-$M215,"")</f>
        <v/>
      </c>
      <c r="P215" s="68">
        <f>IFERROR($O215-$N215,"")</f>
        <v/>
      </c>
      <c r="Q215" s="69">
        <f>IFERROR($P215/$L215,"")</f>
        <v/>
      </c>
    </row>
    <row r="216" ht="15" customHeight="1" s="47">
      <c r="A216" s="183" t="n">
        <v>46206</v>
      </c>
      <c r="B216" s="182" t="inlineStr">
        <is>
          <t>T06</t>
        </is>
      </c>
      <c r="C216" s="182" t="inlineStr">
        <is>
          <t>EL-046</t>
        </is>
      </c>
      <c r="D216" s="59">
        <f>IFERROR(INDEX(Productos!$B$5:$B$124,MATCH($C216,Productos!$A$5:$A$124,0)),"")</f>
        <v/>
      </c>
      <c r="E216" s="59">
        <f>IFERROR(INDEX(Productos!$D$5:$D$124,MATCH($C216,Productos!$A$5:$A$124,0)),"")</f>
        <v/>
      </c>
      <c r="F216" s="186" t="n">
        <v>1</v>
      </c>
      <c r="G216" s="68">
        <f>IFERROR(INDEX(Productos!$H$5:$H$124,MATCH($C216,Productos!$A$5:$A$124,0)),"")</f>
        <v/>
      </c>
      <c r="H216" s="185" t="n">
        <v>0.06122448979591832</v>
      </c>
      <c r="I216" s="68">
        <f>IFERROR($G216*(1-$H216),"")</f>
        <v/>
      </c>
      <c r="J216" s="182" t="inlineStr">
        <is>
          <t>Crédito propio</t>
        </is>
      </c>
      <c r="K216" s="69">
        <f>IF($J216="",0,IF($J216="Contado",Inicio!$C$26,IF($J216="Tarjeta",Inicio!$C$27,IF($J216="Crédito propio",Inicio!$C$28,0))))</f>
        <v/>
      </c>
      <c r="L216" s="68">
        <f>IFERROR($F216*$I216,"")</f>
        <v/>
      </c>
      <c r="M216" s="68">
        <f>IFERROR($F216*INDEX(Productos!$G$5:$G$124,MATCH($C216,Productos!$A$5:$A$124,0)),"")</f>
        <v/>
      </c>
      <c r="N216" s="68">
        <f>IFERROR($L216*$K216,"")</f>
        <v/>
      </c>
      <c r="O216" s="68">
        <f>IFERROR($L216-$M216,"")</f>
        <v/>
      </c>
      <c r="P216" s="68">
        <f>IFERROR($O216-$N216,"")</f>
        <v/>
      </c>
      <c r="Q216" s="69">
        <f>IFERROR($P216/$L216,"")</f>
        <v/>
      </c>
    </row>
    <row r="217" ht="15" customHeight="1" s="47">
      <c r="A217" s="183" t="n">
        <v>46207</v>
      </c>
      <c r="B217" s="182" t="inlineStr">
        <is>
          <t>T01</t>
        </is>
      </c>
      <c r="C217" s="182" t="inlineStr">
        <is>
          <t>EL-001</t>
        </is>
      </c>
      <c r="D217" s="59">
        <f>IFERROR(INDEX(Productos!$B$5:$B$124,MATCH($C217,Productos!$A$5:$A$124,0)),"")</f>
        <v/>
      </c>
      <c r="E217" s="59">
        <f>IFERROR(INDEX(Productos!$D$5:$D$124,MATCH($C217,Productos!$A$5:$A$124,0)),"")</f>
        <v/>
      </c>
      <c r="F217" s="186" t="n">
        <v>1</v>
      </c>
      <c r="G217" s="68">
        <f>IFERROR(INDEX(Productos!$H$5:$H$124,MATCH($C217,Productos!$A$5:$A$124,0)),"")</f>
        <v/>
      </c>
      <c r="H217" s="185" t="n">
        <v>0.07177033492822971</v>
      </c>
      <c r="I217" s="68">
        <f>IFERROR($G217*(1-$H217),"")</f>
        <v/>
      </c>
      <c r="J217" s="182" t="inlineStr">
        <is>
          <t>Contado</t>
        </is>
      </c>
      <c r="K217" s="69">
        <f>IF($J217="",0,IF($J217="Contado",Inicio!$C$26,IF($J217="Tarjeta",Inicio!$C$27,IF($J217="Crédito propio",Inicio!$C$28,0))))</f>
        <v/>
      </c>
      <c r="L217" s="68">
        <f>IFERROR($F217*$I217,"")</f>
        <v/>
      </c>
      <c r="M217" s="68">
        <f>IFERROR($F217*INDEX(Productos!$G$5:$G$124,MATCH($C217,Productos!$A$5:$A$124,0)),"")</f>
        <v/>
      </c>
      <c r="N217" s="68">
        <f>IFERROR($L217*$K217,"")</f>
        <v/>
      </c>
      <c r="O217" s="68">
        <f>IFERROR($L217-$M217,"")</f>
        <v/>
      </c>
      <c r="P217" s="68">
        <f>IFERROR($O217-$N217,"")</f>
        <v/>
      </c>
      <c r="Q217" s="69">
        <f>IFERROR($P217/$L217,"")</f>
        <v/>
      </c>
    </row>
    <row r="218" ht="15" customHeight="1" s="47">
      <c r="A218" s="183" t="n">
        <v>46207</v>
      </c>
      <c r="B218" s="182" t="inlineStr">
        <is>
          <t>T01</t>
        </is>
      </c>
      <c r="C218" s="182" t="inlineStr">
        <is>
          <t>EL-006</t>
        </is>
      </c>
      <c r="D218" s="59">
        <f>IFERROR(INDEX(Productos!$B$5:$B$124,MATCH($C218,Productos!$A$5:$A$124,0)),"")</f>
        <v/>
      </c>
      <c r="E218" s="59">
        <f>IFERROR(INDEX(Productos!$D$5:$D$124,MATCH($C218,Productos!$A$5:$A$124,0)),"")</f>
        <v/>
      </c>
      <c r="F218" s="186" t="n">
        <v>2</v>
      </c>
      <c r="G218" s="68">
        <f>IFERROR(INDEX(Productos!$H$5:$H$124,MATCH($C218,Productos!$A$5:$A$124,0)),"")</f>
        <v/>
      </c>
      <c r="H218" s="185" t="n">
        <v>0.05</v>
      </c>
      <c r="I218" s="68">
        <f>IFERROR($G218*(1-$H218),"")</f>
        <v/>
      </c>
      <c r="J218" s="182" t="inlineStr">
        <is>
          <t>Tarjeta</t>
        </is>
      </c>
      <c r="K218" s="69">
        <f>IF($J218="",0,IF($J218="Contado",Inicio!$C$26,IF($J218="Tarjeta",Inicio!$C$27,IF($J218="Crédito propio",Inicio!$C$28,0))))</f>
        <v/>
      </c>
      <c r="L218" s="68">
        <f>IFERROR($F218*$I218,"")</f>
        <v/>
      </c>
      <c r="M218" s="68">
        <f>IFERROR($F218*INDEX(Productos!$G$5:$G$124,MATCH($C218,Productos!$A$5:$A$124,0)),"")</f>
        <v/>
      </c>
      <c r="N218" s="68">
        <f>IFERROR($L218*$K218,"")</f>
        <v/>
      </c>
      <c r="O218" s="68">
        <f>IFERROR($L218-$M218,"")</f>
        <v/>
      </c>
      <c r="P218" s="68">
        <f>IFERROR($O218-$N218,"")</f>
        <v/>
      </c>
      <c r="Q218" s="69">
        <f>IFERROR($P218/$L218,"")</f>
        <v/>
      </c>
    </row>
    <row r="219" ht="15" customHeight="1" s="47">
      <c r="A219" s="183" t="n">
        <v>46207</v>
      </c>
      <c r="B219" s="182" t="inlineStr">
        <is>
          <t>T01</t>
        </is>
      </c>
      <c r="C219" s="182" t="inlineStr">
        <is>
          <t>EL-010</t>
        </is>
      </c>
      <c r="D219" s="59">
        <f>IFERROR(INDEX(Productos!$B$5:$B$124,MATCH($C219,Productos!$A$5:$A$124,0)),"")</f>
        <v/>
      </c>
      <c r="E219" s="59">
        <f>IFERROR(INDEX(Productos!$D$5:$D$124,MATCH($C219,Productos!$A$5:$A$124,0)),"")</f>
        <v/>
      </c>
      <c r="F219" s="186" t="n">
        <v>1</v>
      </c>
      <c r="G219" s="68">
        <f>IFERROR(INDEX(Productos!$H$5:$H$124,MATCH($C219,Productos!$A$5:$A$124,0)),"")</f>
        <v/>
      </c>
      <c r="H219" s="185" t="n">
        <v>0</v>
      </c>
      <c r="I219" s="68">
        <f>IFERROR($G219*(1-$H219),"")</f>
        <v/>
      </c>
      <c r="J219" s="182" t="inlineStr">
        <is>
          <t>Contado</t>
        </is>
      </c>
      <c r="K219" s="69">
        <f>IF($J219="",0,IF($J219="Contado",Inicio!$C$26,IF($J219="Tarjeta",Inicio!$C$27,IF($J219="Crédito propio",Inicio!$C$28,0))))</f>
        <v/>
      </c>
      <c r="L219" s="68">
        <f>IFERROR($F219*$I219,"")</f>
        <v/>
      </c>
      <c r="M219" s="68">
        <f>IFERROR($F219*INDEX(Productos!$G$5:$G$124,MATCH($C219,Productos!$A$5:$A$124,0)),"")</f>
        <v/>
      </c>
      <c r="N219" s="68">
        <f>IFERROR($L219*$K219,"")</f>
        <v/>
      </c>
      <c r="O219" s="68">
        <f>IFERROR($L219-$M219,"")</f>
        <v/>
      </c>
      <c r="P219" s="68">
        <f>IFERROR($O219-$N219,"")</f>
        <v/>
      </c>
      <c r="Q219" s="69">
        <f>IFERROR($P219/$L219,"")</f>
        <v/>
      </c>
    </row>
    <row r="220" ht="15" customHeight="1" s="47">
      <c r="A220" s="183" t="n">
        <v>46207</v>
      </c>
      <c r="B220" s="182" t="inlineStr">
        <is>
          <t>T01</t>
        </is>
      </c>
      <c r="C220" s="182" t="inlineStr">
        <is>
          <t>EL-011</t>
        </is>
      </c>
      <c r="D220" s="59">
        <f>IFERROR(INDEX(Productos!$B$5:$B$124,MATCH($C220,Productos!$A$5:$A$124,0)),"")</f>
        <v/>
      </c>
      <c r="E220" s="59">
        <f>IFERROR(INDEX(Productos!$D$5:$D$124,MATCH($C220,Productos!$A$5:$A$124,0)),"")</f>
        <v/>
      </c>
      <c r="F220" s="186" t="n">
        <v>1</v>
      </c>
      <c r="G220" s="68">
        <f>IFERROR(INDEX(Productos!$H$5:$H$124,MATCH($C220,Productos!$A$5:$A$124,0)),"")</f>
        <v/>
      </c>
      <c r="H220" s="185" t="n">
        <v>0.05</v>
      </c>
      <c r="I220" s="68">
        <f>IFERROR($G220*(1-$H220),"")</f>
        <v/>
      </c>
      <c r="J220" s="182" t="inlineStr">
        <is>
          <t>Tarjeta</t>
        </is>
      </c>
      <c r="K220" s="69">
        <f>IF($J220="",0,IF($J220="Contado",Inicio!$C$26,IF($J220="Tarjeta",Inicio!$C$27,IF($J220="Crédito propio",Inicio!$C$28,0))))</f>
        <v/>
      </c>
      <c r="L220" s="68">
        <f>IFERROR($F220*$I220,"")</f>
        <v/>
      </c>
      <c r="M220" s="68">
        <f>IFERROR($F220*INDEX(Productos!$G$5:$G$124,MATCH($C220,Productos!$A$5:$A$124,0)),"")</f>
        <v/>
      </c>
      <c r="N220" s="68">
        <f>IFERROR($L220*$K220,"")</f>
        <v/>
      </c>
      <c r="O220" s="68">
        <f>IFERROR($L220-$M220,"")</f>
        <v/>
      </c>
      <c r="P220" s="68">
        <f>IFERROR($O220-$N220,"")</f>
        <v/>
      </c>
      <c r="Q220" s="69">
        <f>IFERROR($P220/$L220,"")</f>
        <v/>
      </c>
    </row>
    <row r="221" ht="15" customHeight="1" s="47">
      <c r="A221" s="183" t="n">
        <v>46207</v>
      </c>
      <c r="B221" s="182" t="inlineStr">
        <is>
          <t>T01</t>
        </is>
      </c>
      <c r="C221" s="182" t="inlineStr">
        <is>
          <t>EL-012</t>
        </is>
      </c>
      <c r="D221" s="59">
        <f>IFERROR(INDEX(Productos!$B$5:$B$124,MATCH($C221,Productos!$A$5:$A$124,0)),"")</f>
        <v/>
      </c>
      <c r="E221" s="59">
        <f>IFERROR(INDEX(Productos!$D$5:$D$124,MATCH($C221,Productos!$A$5:$A$124,0)),"")</f>
        <v/>
      </c>
      <c r="F221" s="186" t="n">
        <v>1</v>
      </c>
      <c r="G221" s="68">
        <f>IFERROR(INDEX(Productos!$H$5:$H$124,MATCH($C221,Productos!$A$5:$A$124,0)),"")</f>
        <v/>
      </c>
      <c r="H221" s="185" t="n">
        <v>0</v>
      </c>
      <c r="I221" s="68">
        <f>IFERROR($G221*(1-$H221),"")</f>
        <v/>
      </c>
      <c r="J221" s="182" t="inlineStr">
        <is>
          <t>Crédito propio</t>
        </is>
      </c>
      <c r="K221" s="69">
        <f>IF($J221="",0,IF($J221="Contado",Inicio!$C$26,IF($J221="Tarjeta",Inicio!$C$27,IF($J221="Crédito propio",Inicio!$C$28,0))))</f>
        <v/>
      </c>
      <c r="L221" s="68">
        <f>IFERROR($F221*$I221,"")</f>
        <v/>
      </c>
      <c r="M221" s="68">
        <f>IFERROR($F221*INDEX(Productos!$G$5:$G$124,MATCH($C221,Productos!$A$5:$A$124,0)),"")</f>
        <v/>
      </c>
      <c r="N221" s="68">
        <f>IFERROR($L221*$K221,"")</f>
        <v/>
      </c>
      <c r="O221" s="68">
        <f>IFERROR($L221-$M221,"")</f>
        <v/>
      </c>
      <c r="P221" s="68">
        <f>IFERROR($O221-$N221,"")</f>
        <v/>
      </c>
      <c r="Q221" s="69">
        <f>IFERROR($P221/$L221,"")</f>
        <v/>
      </c>
    </row>
    <row r="222" ht="15" customHeight="1" s="47">
      <c r="A222" s="183" t="n">
        <v>46207</v>
      </c>
      <c r="B222" s="182" t="inlineStr">
        <is>
          <t>T01</t>
        </is>
      </c>
      <c r="C222" s="182" t="inlineStr">
        <is>
          <t>EL-016</t>
        </is>
      </c>
      <c r="D222" s="59">
        <f>IFERROR(INDEX(Productos!$B$5:$B$124,MATCH($C222,Productos!$A$5:$A$124,0)),"")</f>
        <v/>
      </c>
      <c r="E222" s="59">
        <f>IFERROR(INDEX(Productos!$D$5:$D$124,MATCH($C222,Productos!$A$5:$A$124,0)),"")</f>
        <v/>
      </c>
      <c r="F222" s="186" t="n">
        <v>1</v>
      </c>
      <c r="G222" s="68">
        <f>IFERROR(INDEX(Productos!$H$5:$H$124,MATCH($C222,Productos!$A$5:$A$124,0)),"")</f>
        <v/>
      </c>
      <c r="H222" s="185" t="n">
        <v>0.03</v>
      </c>
      <c r="I222" s="68">
        <f>IFERROR($G222*(1-$H222),"")</f>
        <v/>
      </c>
      <c r="J222" s="182" t="inlineStr">
        <is>
          <t>Contado</t>
        </is>
      </c>
      <c r="K222" s="69">
        <f>IF($J222="",0,IF($J222="Contado",Inicio!$C$26,IF($J222="Tarjeta",Inicio!$C$27,IF($J222="Crédito propio",Inicio!$C$28,0))))</f>
        <v/>
      </c>
      <c r="L222" s="68">
        <f>IFERROR($F222*$I222,"")</f>
        <v/>
      </c>
      <c r="M222" s="68">
        <f>IFERROR($F222*INDEX(Productos!$G$5:$G$124,MATCH($C222,Productos!$A$5:$A$124,0)),"")</f>
        <v/>
      </c>
      <c r="N222" s="68">
        <f>IFERROR($L222*$K222,"")</f>
        <v/>
      </c>
      <c r="O222" s="68">
        <f>IFERROR($L222-$M222,"")</f>
        <v/>
      </c>
      <c r="P222" s="68">
        <f>IFERROR($O222-$N222,"")</f>
        <v/>
      </c>
      <c r="Q222" s="69">
        <f>IFERROR($P222/$L222,"")</f>
        <v/>
      </c>
    </row>
    <row r="223" ht="15" customHeight="1" s="47">
      <c r="A223" s="183" t="n">
        <v>46207</v>
      </c>
      <c r="B223" s="182" t="inlineStr">
        <is>
          <t>T01</t>
        </is>
      </c>
      <c r="C223" s="182" t="inlineStr">
        <is>
          <t>EL-018</t>
        </is>
      </c>
      <c r="D223" s="59">
        <f>IFERROR(INDEX(Productos!$B$5:$B$124,MATCH($C223,Productos!$A$5:$A$124,0)),"")</f>
        <v/>
      </c>
      <c r="E223" s="59">
        <f>IFERROR(INDEX(Productos!$D$5:$D$124,MATCH($C223,Productos!$A$5:$A$124,0)),"")</f>
        <v/>
      </c>
      <c r="F223" s="186" t="n">
        <v>2</v>
      </c>
      <c r="G223" s="68">
        <f>IFERROR(INDEX(Productos!$H$5:$H$124,MATCH($C223,Productos!$A$5:$A$124,0)),"")</f>
        <v/>
      </c>
      <c r="H223" s="185" t="n">
        <v>0.07377049180327866</v>
      </c>
      <c r="I223" s="68">
        <f>IFERROR($G223*(1-$H223),"")</f>
        <v/>
      </c>
      <c r="J223" s="182" t="inlineStr">
        <is>
          <t>Tarjeta</t>
        </is>
      </c>
      <c r="K223" s="69">
        <f>IF($J223="",0,IF($J223="Contado",Inicio!$C$26,IF($J223="Tarjeta",Inicio!$C$27,IF($J223="Crédito propio",Inicio!$C$28,0))))</f>
        <v/>
      </c>
      <c r="L223" s="68">
        <f>IFERROR($F223*$I223,"")</f>
        <v/>
      </c>
      <c r="M223" s="68">
        <f>IFERROR($F223*INDEX(Productos!$G$5:$G$124,MATCH($C223,Productos!$A$5:$A$124,0)),"")</f>
        <v/>
      </c>
      <c r="N223" s="68">
        <f>IFERROR($L223*$K223,"")</f>
        <v/>
      </c>
      <c r="O223" s="68">
        <f>IFERROR($L223-$M223,"")</f>
        <v/>
      </c>
      <c r="P223" s="68">
        <f>IFERROR($O223-$N223,"")</f>
        <v/>
      </c>
      <c r="Q223" s="69">
        <f>IFERROR($P223/$L223,"")</f>
        <v/>
      </c>
    </row>
    <row r="224" ht="15" customHeight="1" s="47">
      <c r="A224" s="183" t="n">
        <v>46207</v>
      </c>
      <c r="B224" s="182" t="inlineStr">
        <is>
          <t>T01</t>
        </is>
      </c>
      <c r="C224" s="182" t="inlineStr">
        <is>
          <t>EL-021</t>
        </is>
      </c>
      <c r="D224" s="59">
        <f>IFERROR(INDEX(Productos!$B$5:$B$124,MATCH($C224,Productos!$A$5:$A$124,0)),"")</f>
        <v/>
      </c>
      <c r="E224" s="59">
        <f>IFERROR(INDEX(Productos!$D$5:$D$124,MATCH($C224,Productos!$A$5:$A$124,0)),"")</f>
        <v/>
      </c>
      <c r="F224" s="186" t="n">
        <v>2</v>
      </c>
      <c r="G224" s="68">
        <f>IFERROR(INDEX(Productos!$H$5:$H$124,MATCH($C224,Productos!$A$5:$A$124,0)),"")</f>
        <v/>
      </c>
      <c r="H224" s="185" t="n">
        <v>0</v>
      </c>
      <c r="I224" s="68">
        <f>IFERROR($G224*(1-$H224),"")</f>
        <v/>
      </c>
      <c r="J224" s="182" t="inlineStr">
        <is>
          <t>Crédito propio</t>
        </is>
      </c>
      <c r="K224" s="69">
        <f>IF($J224="",0,IF($J224="Contado",Inicio!$C$26,IF($J224="Tarjeta",Inicio!$C$27,IF($J224="Crédito propio",Inicio!$C$28,0))))</f>
        <v/>
      </c>
      <c r="L224" s="68">
        <f>IFERROR($F224*$I224,"")</f>
        <v/>
      </c>
      <c r="M224" s="68">
        <f>IFERROR($F224*INDEX(Productos!$G$5:$G$124,MATCH($C224,Productos!$A$5:$A$124,0)),"")</f>
        <v/>
      </c>
      <c r="N224" s="68">
        <f>IFERROR($L224*$K224,"")</f>
        <v/>
      </c>
      <c r="O224" s="68">
        <f>IFERROR($L224-$M224,"")</f>
        <v/>
      </c>
      <c r="P224" s="68">
        <f>IFERROR($O224-$N224,"")</f>
        <v/>
      </c>
      <c r="Q224" s="69">
        <f>IFERROR($P224/$L224,"")</f>
        <v/>
      </c>
    </row>
    <row r="225" ht="15" customHeight="1" s="47">
      <c r="A225" s="183" t="n">
        <v>46207</v>
      </c>
      <c r="B225" s="182" t="inlineStr">
        <is>
          <t>T01</t>
        </is>
      </c>
      <c r="C225" s="182" t="inlineStr">
        <is>
          <t>EL-023</t>
        </is>
      </c>
      <c r="D225" s="59">
        <f>IFERROR(INDEX(Productos!$B$5:$B$124,MATCH($C225,Productos!$A$5:$A$124,0)),"")</f>
        <v/>
      </c>
      <c r="E225" s="59">
        <f>IFERROR(INDEX(Productos!$D$5:$D$124,MATCH($C225,Productos!$A$5:$A$124,0)),"")</f>
        <v/>
      </c>
      <c r="F225" s="186" t="n">
        <v>1</v>
      </c>
      <c r="G225" s="68">
        <f>IFERROR(INDEX(Productos!$H$5:$H$124,MATCH($C225,Productos!$A$5:$A$124,0)),"")</f>
        <v/>
      </c>
      <c r="H225" s="185" t="n">
        <v>0.06900000000000001</v>
      </c>
      <c r="I225" s="68">
        <f>IFERROR($G225*(1-$H225),"")</f>
        <v/>
      </c>
      <c r="J225" s="182" t="inlineStr">
        <is>
          <t>Contado</t>
        </is>
      </c>
      <c r="K225" s="69">
        <f>IF($J225="",0,IF($J225="Contado",Inicio!$C$26,IF($J225="Tarjeta",Inicio!$C$27,IF($J225="Crédito propio",Inicio!$C$28,0))))</f>
        <v/>
      </c>
      <c r="L225" s="68">
        <f>IFERROR($F225*$I225,"")</f>
        <v/>
      </c>
      <c r="M225" s="68">
        <f>IFERROR($F225*INDEX(Productos!$G$5:$G$124,MATCH($C225,Productos!$A$5:$A$124,0)),"")</f>
        <v/>
      </c>
      <c r="N225" s="68">
        <f>IFERROR($L225*$K225,"")</f>
        <v/>
      </c>
      <c r="O225" s="68">
        <f>IFERROR($L225-$M225,"")</f>
        <v/>
      </c>
      <c r="P225" s="68">
        <f>IFERROR($O225-$N225,"")</f>
        <v/>
      </c>
      <c r="Q225" s="69">
        <f>IFERROR($P225/$L225,"")</f>
        <v/>
      </c>
    </row>
    <row r="226" ht="15" customHeight="1" s="47">
      <c r="A226" s="183" t="n">
        <v>46207</v>
      </c>
      <c r="B226" s="182" t="inlineStr">
        <is>
          <t>T01</t>
        </is>
      </c>
      <c r="C226" s="182" t="inlineStr">
        <is>
          <t>EL-025</t>
        </is>
      </c>
      <c r="D226" s="59">
        <f>IFERROR(INDEX(Productos!$B$5:$B$124,MATCH($C226,Productos!$A$5:$A$124,0)),"")</f>
        <v/>
      </c>
      <c r="E226" s="59">
        <f>IFERROR(INDEX(Productos!$D$5:$D$124,MATCH($C226,Productos!$A$5:$A$124,0)),"")</f>
        <v/>
      </c>
      <c r="F226" s="186" t="n">
        <v>1</v>
      </c>
      <c r="G226" s="68">
        <f>IFERROR(INDEX(Productos!$H$5:$H$124,MATCH($C226,Productos!$A$5:$A$124,0)),"")</f>
        <v/>
      </c>
      <c r="H226" s="185" t="n">
        <v>0.05</v>
      </c>
      <c r="I226" s="68">
        <f>IFERROR($G226*(1-$H226),"")</f>
        <v/>
      </c>
      <c r="J226" s="182" t="inlineStr">
        <is>
          <t>Crédito propio</t>
        </is>
      </c>
      <c r="K226" s="69">
        <f>IF($J226="",0,IF($J226="Contado",Inicio!$C$26,IF($J226="Tarjeta",Inicio!$C$27,IF($J226="Crédito propio",Inicio!$C$28,0))))</f>
        <v/>
      </c>
      <c r="L226" s="68">
        <f>IFERROR($F226*$I226,"")</f>
        <v/>
      </c>
      <c r="M226" s="68">
        <f>IFERROR($F226*INDEX(Productos!$G$5:$G$124,MATCH($C226,Productos!$A$5:$A$124,0)),"")</f>
        <v/>
      </c>
      <c r="N226" s="68">
        <f>IFERROR($L226*$K226,"")</f>
        <v/>
      </c>
      <c r="O226" s="68">
        <f>IFERROR($L226-$M226,"")</f>
        <v/>
      </c>
      <c r="P226" s="68">
        <f>IFERROR($O226-$N226,"")</f>
        <v/>
      </c>
      <c r="Q226" s="69">
        <f>IFERROR($P226/$L226,"")</f>
        <v/>
      </c>
    </row>
    <row r="227" ht="15" customHeight="1" s="47">
      <c r="A227" s="183" t="n">
        <v>46207</v>
      </c>
      <c r="B227" s="182" t="inlineStr">
        <is>
          <t>T01</t>
        </is>
      </c>
      <c r="C227" s="182" t="inlineStr">
        <is>
          <t>EL-026</t>
        </is>
      </c>
      <c r="D227" s="59">
        <f>IFERROR(INDEX(Productos!$B$5:$B$124,MATCH($C227,Productos!$A$5:$A$124,0)),"")</f>
        <v/>
      </c>
      <c r="E227" s="59">
        <f>IFERROR(INDEX(Productos!$D$5:$D$124,MATCH($C227,Productos!$A$5:$A$124,0)),"")</f>
        <v/>
      </c>
      <c r="F227" s="186" t="n">
        <v>1</v>
      </c>
      <c r="G227" s="68">
        <f>IFERROR(INDEX(Productos!$H$5:$H$124,MATCH($C227,Productos!$A$5:$A$124,0)),"")</f>
        <v/>
      </c>
      <c r="H227" s="185" t="n">
        <v>0.05</v>
      </c>
      <c r="I227" s="68">
        <f>IFERROR($G227*(1-$H227),"")</f>
        <v/>
      </c>
      <c r="J227" s="182" t="inlineStr">
        <is>
          <t>Tarjeta</t>
        </is>
      </c>
      <c r="K227" s="69">
        <f>IF($J227="",0,IF($J227="Contado",Inicio!$C$26,IF($J227="Tarjeta",Inicio!$C$27,IF($J227="Crédito propio",Inicio!$C$28,0))))</f>
        <v/>
      </c>
      <c r="L227" s="68">
        <f>IFERROR($F227*$I227,"")</f>
        <v/>
      </c>
      <c r="M227" s="68">
        <f>IFERROR($F227*INDEX(Productos!$G$5:$G$124,MATCH($C227,Productos!$A$5:$A$124,0)),"")</f>
        <v/>
      </c>
      <c r="N227" s="68">
        <f>IFERROR($L227*$K227,"")</f>
        <v/>
      </c>
      <c r="O227" s="68">
        <f>IFERROR($L227-$M227,"")</f>
        <v/>
      </c>
      <c r="P227" s="68">
        <f>IFERROR($O227-$N227,"")</f>
        <v/>
      </c>
      <c r="Q227" s="69">
        <f>IFERROR($P227/$L227,"")</f>
        <v/>
      </c>
    </row>
    <row r="228" ht="15" customHeight="1" s="47">
      <c r="A228" s="183" t="n">
        <v>46207</v>
      </c>
      <c r="B228" s="182" t="inlineStr">
        <is>
          <t>T01</t>
        </is>
      </c>
      <c r="C228" s="182" t="inlineStr">
        <is>
          <t>EL-027</t>
        </is>
      </c>
      <c r="D228" s="59">
        <f>IFERROR(INDEX(Productos!$B$5:$B$124,MATCH($C228,Productos!$A$5:$A$124,0)),"")</f>
        <v/>
      </c>
      <c r="E228" s="59">
        <f>IFERROR(INDEX(Productos!$D$5:$D$124,MATCH($C228,Productos!$A$5:$A$124,0)),"")</f>
        <v/>
      </c>
      <c r="F228" s="186" t="n">
        <v>1</v>
      </c>
      <c r="G228" s="68">
        <f>IFERROR(INDEX(Productos!$H$5:$H$124,MATCH($C228,Productos!$A$5:$A$124,0)),"")</f>
        <v/>
      </c>
      <c r="H228" s="185" t="n">
        <v>0.03</v>
      </c>
      <c r="I228" s="68">
        <f>IFERROR($G228*(1-$H228),"")</f>
        <v/>
      </c>
      <c r="J228" s="182" t="inlineStr">
        <is>
          <t>Tarjeta</t>
        </is>
      </c>
      <c r="K228" s="69">
        <f>IF($J228="",0,IF($J228="Contado",Inicio!$C$26,IF($J228="Tarjeta",Inicio!$C$27,IF($J228="Crédito propio",Inicio!$C$28,0))))</f>
        <v/>
      </c>
      <c r="L228" s="68">
        <f>IFERROR($F228*$I228,"")</f>
        <v/>
      </c>
      <c r="M228" s="68">
        <f>IFERROR($F228*INDEX(Productos!$G$5:$G$124,MATCH($C228,Productos!$A$5:$A$124,0)),"")</f>
        <v/>
      </c>
      <c r="N228" s="68">
        <f>IFERROR($L228*$K228,"")</f>
        <v/>
      </c>
      <c r="O228" s="68">
        <f>IFERROR($L228-$M228,"")</f>
        <v/>
      </c>
      <c r="P228" s="68">
        <f>IFERROR($O228-$N228,"")</f>
        <v/>
      </c>
      <c r="Q228" s="69">
        <f>IFERROR($P228/$L228,"")</f>
        <v/>
      </c>
    </row>
    <row r="229" ht="15" customHeight="1" s="47">
      <c r="A229" s="183" t="n">
        <v>46207</v>
      </c>
      <c r="B229" s="182" t="inlineStr">
        <is>
          <t>T01</t>
        </is>
      </c>
      <c r="C229" s="182" t="inlineStr">
        <is>
          <t>EL-028</t>
        </is>
      </c>
      <c r="D229" s="59">
        <f>IFERROR(INDEX(Productos!$B$5:$B$124,MATCH($C229,Productos!$A$5:$A$124,0)),"")</f>
        <v/>
      </c>
      <c r="E229" s="59">
        <f>IFERROR(INDEX(Productos!$D$5:$D$124,MATCH($C229,Productos!$A$5:$A$124,0)),"")</f>
        <v/>
      </c>
      <c r="F229" s="186" t="n">
        <v>1</v>
      </c>
      <c r="G229" s="68">
        <f>IFERROR(INDEX(Productos!$H$5:$H$124,MATCH($C229,Productos!$A$5:$A$124,0)),"")</f>
        <v/>
      </c>
      <c r="H229" s="185" t="n">
        <v>0.03</v>
      </c>
      <c r="I229" s="68">
        <f>IFERROR($G229*(1-$H229),"")</f>
        <v/>
      </c>
      <c r="J229" s="182" t="inlineStr">
        <is>
          <t>Tarjeta</t>
        </is>
      </c>
      <c r="K229" s="69">
        <f>IF($J229="",0,IF($J229="Contado",Inicio!$C$26,IF($J229="Tarjeta",Inicio!$C$27,IF($J229="Crédito propio",Inicio!$C$28,0))))</f>
        <v/>
      </c>
      <c r="L229" s="68">
        <f>IFERROR($F229*$I229,"")</f>
        <v/>
      </c>
      <c r="M229" s="68">
        <f>IFERROR($F229*INDEX(Productos!$G$5:$G$124,MATCH($C229,Productos!$A$5:$A$124,0)),"")</f>
        <v/>
      </c>
      <c r="N229" s="68">
        <f>IFERROR($L229*$K229,"")</f>
        <v/>
      </c>
      <c r="O229" s="68">
        <f>IFERROR($L229-$M229,"")</f>
        <v/>
      </c>
      <c r="P229" s="68">
        <f>IFERROR($O229-$N229,"")</f>
        <v/>
      </c>
      <c r="Q229" s="69">
        <f>IFERROR($P229/$L229,"")</f>
        <v/>
      </c>
    </row>
    <row r="230" ht="15" customHeight="1" s="47">
      <c r="A230" s="183" t="n">
        <v>46207</v>
      </c>
      <c r="B230" s="182" t="inlineStr">
        <is>
          <t>T01</t>
        </is>
      </c>
      <c r="C230" s="182" t="inlineStr">
        <is>
          <t>EL-029</t>
        </is>
      </c>
      <c r="D230" s="59">
        <f>IFERROR(INDEX(Productos!$B$5:$B$124,MATCH($C230,Productos!$A$5:$A$124,0)),"")</f>
        <v/>
      </c>
      <c r="E230" s="59">
        <f>IFERROR(INDEX(Productos!$D$5:$D$124,MATCH($C230,Productos!$A$5:$A$124,0)),"")</f>
        <v/>
      </c>
      <c r="F230" s="186" t="n">
        <v>1</v>
      </c>
      <c r="G230" s="68">
        <f>IFERROR(INDEX(Productos!$H$5:$H$124,MATCH($C230,Productos!$A$5:$A$124,0)),"")</f>
        <v/>
      </c>
      <c r="H230" s="185" t="n">
        <v>0.03</v>
      </c>
      <c r="I230" s="68">
        <f>IFERROR($G230*(1-$H230),"")</f>
        <v/>
      </c>
      <c r="J230" s="182" t="inlineStr">
        <is>
          <t>Tarjeta</t>
        </is>
      </c>
      <c r="K230" s="69">
        <f>IF($J230="",0,IF($J230="Contado",Inicio!$C$26,IF($J230="Tarjeta",Inicio!$C$27,IF($J230="Crédito propio",Inicio!$C$28,0))))</f>
        <v/>
      </c>
      <c r="L230" s="68">
        <f>IFERROR($F230*$I230,"")</f>
        <v/>
      </c>
      <c r="M230" s="68">
        <f>IFERROR($F230*INDEX(Productos!$G$5:$G$124,MATCH($C230,Productos!$A$5:$A$124,0)),"")</f>
        <v/>
      </c>
      <c r="N230" s="68">
        <f>IFERROR($L230*$K230,"")</f>
        <v/>
      </c>
      <c r="O230" s="68">
        <f>IFERROR($L230-$M230,"")</f>
        <v/>
      </c>
      <c r="P230" s="68">
        <f>IFERROR($O230-$N230,"")</f>
        <v/>
      </c>
      <c r="Q230" s="69">
        <f>IFERROR($P230/$L230,"")</f>
        <v/>
      </c>
    </row>
    <row r="231" ht="15" customHeight="1" s="47">
      <c r="A231" s="183" t="n">
        <v>46207</v>
      </c>
      <c r="B231" s="182" t="inlineStr">
        <is>
          <t>T01</t>
        </is>
      </c>
      <c r="C231" s="182" t="inlineStr">
        <is>
          <t>EL-030</t>
        </is>
      </c>
      <c r="D231" s="59">
        <f>IFERROR(INDEX(Productos!$B$5:$B$124,MATCH($C231,Productos!$A$5:$A$124,0)),"")</f>
        <v/>
      </c>
      <c r="E231" s="59">
        <f>IFERROR(INDEX(Productos!$D$5:$D$124,MATCH($C231,Productos!$A$5:$A$124,0)),"")</f>
        <v/>
      </c>
      <c r="F231" s="186" t="n">
        <v>1</v>
      </c>
      <c r="G231" s="68">
        <f>IFERROR(INDEX(Productos!$H$5:$H$124,MATCH($C231,Productos!$A$5:$A$124,0)),"")</f>
        <v/>
      </c>
      <c r="H231" s="185" t="n">
        <v>0</v>
      </c>
      <c r="I231" s="68">
        <f>IFERROR($G231*(1-$H231),"")</f>
        <v/>
      </c>
      <c r="J231" s="182" t="inlineStr">
        <is>
          <t>Contado</t>
        </is>
      </c>
      <c r="K231" s="69">
        <f>IF($J231="",0,IF($J231="Contado",Inicio!$C$26,IF($J231="Tarjeta",Inicio!$C$27,IF($J231="Crédito propio",Inicio!$C$28,0))))</f>
        <v/>
      </c>
      <c r="L231" s="68">
        <f>IFERROR($F231*$I231,"")</f>
        <v/>
      </c>
      <c r="M231" s="68">
        <f>IFERROR($F231*INDEX(Productos!$G$5:$G$124,MATCH($C231,Productos!$A$5:$A$124,0)),"")</f>
        <v/>
      </c>
      <c r="N231" s="68">
        <f>IFERROR($L231*$K231,"")</f>
        <v/>
      </c>
      <c r="O231" s="68">
        <f>IFERROR($L231-$M231,"")</f>
        <v/>
      </c>
      <c r="P231" s="68">
        <f>IFERROR($O231-$N231,"")</f>
        <v/>
      </c>
      <c r="Q231" s="69">
        <f>IFERROR($P231/$L231,"")</f>
        <v/>
      </c>
    </row>
    <row r="232" ht="15" customHeight="1" s="47">
      <c r="A232" s="183" t="n">
        <v>46207</v>
      </c>
      <c r="B232" s="182" t="inlineStr">
        <is>
          <t>T01</t>
        </is>
      </c>
      <c r="C232" s="182" t="inlineStr">
        <is>
          <t>EL-036</t>
        </is>
      </c>
      <c r="D232" s="59">
        <f>IFERROR(INDEX(Productos!$B$5:$B$124,MATCH($C232,Productos!$A$5:$A$124,0)),"")</f>
        <v/>
      </c>
      <c r="E232" s="59">
        <f>IFERROR(INDEX(Productos!$D$5:$D$124,MATCH($C232,Productos!$A$5:$A$124,0)),"")</f>
        <v/>
      </c>
      <c r="F232" s="186" t="n">
        <v>1</v>
      </c>
      <c r="G232" s="68">
        <f>IFERROR(INDEX(Productos!$H$5:$H$124,MATCH($C232,Productos!$A$5:$A$124,0)),"")</f>
        <v/>
      </c>
      <c r="H232" s="185" t="n">
        <v>0.063</v>
      </c>
      <c r="I232" s="68">
        <f>IFERROR($G232*(1-$H232),"")</f>
        <v/>
      </c>
      <c r="J232" s="182" t="inlineStr">
        <is>
          <t>Crédito propio</t>
        </is>
      </c>
      <c r="K232" s="69">
        <f>IF($J232="",0,IF($J232="Contado",Inicio!$C$26,IF($J232="Tarjeta",Inicio!$C$27,IF($J232="Crédito propio",Inicio!$C$28,0))))</f>
        <v/>
      </c>
      <c r="L232" s="68">
        <f>IFERROR($F232*$I232,"")</f>
        <v/>
      </c>
      <c r="M232" s="68">
        <f>IFERROR($F232*INDEX(Productos!$G$5:$G$124,MATCH($C232,Productos!$A$5:$A$124,0)),"")</f>
        <v/>
      </c>
      <c r="N232" s="68">
        <f>IFERROR($L232*$K232,"")</f>
        <v/>
      </c>
      <c r="O232" s="68">
        <f>IFERROR($L232-$M232,"")</f>
        <v/>
      </c>
      <c r="P232" s="68">
        <f>IFERROR($O232-$N232,"")</f>
        <v/>
      </c>
      <c r="Q232" s="69">
        <f>IFERROR($P232/$L232,"")</f>
        <v/>
      </c>
    </row>
    <row r="233" ht="15" customHeight="1" s="47">
      <c r="A233" s="183" t="n">
        <v>46207</v>
      </c>
      <c r="B233" s="182" t="inlineStr">
        <is>
          <t>T01</t>
        </is>
      </c>
      <c r="C233" s="182" t="inlineStr">
        <is>
          <t>EL-038</t>
        </is>
      </c>
      <c r="D233" s="59">
        <f>IFERROR(INDEX(Productos!$B$5:$B$124,MATCH($C233,Productos!$A$5:$A$124,0)),"")</f>
        <v/>
      </c>
      <c r="E233" s="59">
        <f>IFERROR(INDEX(Productos!$D$5:$D$124,MATCH($C233,Productos!$A$5:$A$124,0)),"")</f>
        <v/>
      </c>
      <c r="F233" s="186" t="n">
        <v>1</v>
      </c>
      <c r="G233" s="68">
        <f>IFERROR(INDEX(Productos!$H$5:$H$124,MATCH($C233,Productos!$A$5:$A$124,0)),"")</f>
        <v/>
      </c>
      <c r="H233" s="185" t="n">
        <v>0.068</v>
      </c>
      <c r="I233" s="68">
        <f>IFERROR($G233*(1-$H233),"")</f>
        <v/>
      </c>
      <c r="J233" s="182" t="inlineStr">
        <is>
          <t>Contado</t>
        </is>
      </c>
      <c r="K233" s="69">
        <f>IF($J233="",0,IF($J233="Contado",Inicio!$C$26,IF($J233="Tarjeta",Inicio!$C$27,IF($J233="Crédito propio",Inicio!$C$28,0))))</f>
        <v/>
      </c>
      <c r="L233" s="68">
        <f>IFERROR($F233*$I233,"")</f>
        <v/>
      </c>
      <c r="M233" s="68">
        <f>IFERROR($F233*INDEX(Productos!$G$5:$G$124,MATCH($C233,Productos!$A$5:$A$124,0)),"")</f>
        <v/>
      </c>
      <c r="N233" s="68">
        <f>IFERROR($L233*$K233,"")</f>
        <v/>
      </c>
      <c r="O233" s="68">
        <f>IFERROR($L233-$M233,"")</f>
        <v/>
      </c>
      <c r="P233" s="68">
        <f>IFERROR($O233-$N233,"")</f>
        <v/>
      </c>
      <c r="Q233" s="69">
        <f>IFERROR($P233/$L233,"")</f>
        <v/>
      </c>
    </row>
    <row r="234" ht="15" customHeight="1" s="47">
      <c r="A234" s="183" t="n">
        <v>46207</v>
      </c>
      <c r="B234" s="182" t="inlineStr">
        <is>
          <t>T01</t>
        </is>
      </c>
      <c r="C234" s="182" t="inlineStr">
        <is>
          <t>EL-039</t>
        </is>
      </c>
      <c r="D234" s="59">
        <f>IFERROR(INDEX(Productos!$B$5:$B$124,MATCH($C234,Productos!$A$5:$A$124,0)),"")</f>
        <v/>
      </c>
      <c r="E234" s="59">
        <f>IFERROR(INDEX(Productos!$D$5:$D$124,MATCH($C234,Productos!$A$5:$A$124,0)),"")</f>
        <v/>
      </c>
      <c r="F234" s="186" t="n">
        <v>2</v>
      </c>
      <c r="G234" s="68">
        <f>IFERROR(INDEX(Productos!$H$5:$H$124,MATCH($C234,Productos!$A$5:$A$124,0)),"")</f>
        <v/>
      </c>
      <c r="H234" s="185" t="n">
        <v>0</v>
      </c>
      <c r="I234" s="68">
        <f>IFERROR($G234*(1-$H234),"")</f>
        <v/>
      </c>
      <c r="J234" s="182" t="inlineStr">
        <is>
          <t>Tarjeta</t>
        </is>
      </c>
      <c r="K234" s="69">
        <f>IF($J234="",0,IF($J234="Contado",Inicio!$C$26,IF($J234="Tarjeta",Inicio!$C$27,IF($J234="Crédito propio",Inicio!$C$28,0))))</f>
        <v/>
      </c>
      <c r="L234" s="68">
        <f>IFERROR($F234*$I234,"")</f>
        <v/>
      </c>
      <c r="M234" s="68">
        <f>IFERROR($F234*INDEX(Productos!$G$5:$G$124,MATCH($C234,Productos!$A$5:$A$124,0)),"")</f>
        <v/>
      </c>
      <c r="N234" s="68">
        <f>IFERROR($L234*$K234,"")</f>
        <v/>
      </c>
      <c r="O234" s="68">
        <f>IFERROR($L234-$M234,"")</f>
        <v/>
      </c>
      <c r="P234" s="68">
        <f>IFERROR($O234-$N234,"")</f>
        <v/>
      </c>
      <c r="Q234" s="69">
        <f>IFERROR($P234/$L234,"")</f>
        <v/>
      </c>
    </row>
    <row r="235" ht="15" customHeight="1" s="47">
      <c r="A235" s="183" t="n">
        <v>46207</v>
      </c>
      <c r="B235" s="182" t="inlineStr">
        <is>
          <t>T01</t>
        </is>
      </c>
      <c r="C235" s="182" t="inlineStr">
        <is>
          <t>EL-046</t>
        </is>
      </c>
      <c r="D235" s="59">
        <f>IFERROR(INDEX(Productos!$B$5:$B$124,MATCH($C235,Productos!$A$5:$A$124,0)),"")</f>
        <v/>
      </c>
      <c r="E235" s="59">
        <f>IFERROR(INDEX(Productos!$D$5:$D$124,MATCH($C235,Productos!$A$5:$A$124,0)),"")</f>
        <v/>
      </c>
      <c r="F235" s="186" t="n">
        <v>1</v>
      </c>
      <c r="G235" s="68">
        <f>IFERROR(INDEX(Productos!$H$5:$H$124,MATCH($C235,Productos!$A$5:$A$124,0)),"")</f>
        <v/>
      </c>
      <c r="H235" s="185" t="n">
        <v>0.06122448979591832</v>
      </c>
      <c r="I235" s="68">
        <f>IFERROR($G235*(1-$H235),"")</f>
        <v/>
      </c>
      <c r="J235" s="182" t="inlineStr">
        <is>
          <t>Crédito propio</t>
        </is>
      </c>
      <c r="K235" s="69">
        <f>IF($J235="",0,IF($J235="Contado",Inicio!$C$26,IF($J235="Tarjeta",Inicio!$C$27,IF($J235="Crédito propio",Inicio!$C$28,0))))</f>
        <v/>
      </c>
      <c r="L235" s="68">
        <f>IFERROR($F235*$I235,"")</f>
        <v/>
      </c>
      <c r="M235" s="68">
        <f>IFERROR($F235*INDEX(Productos!$G$5:$G$124,MATCH($C235,Productos!$A$5:$A$124,0)),"")</f>
        <v/>
      </c>
      <c r="N235" s="68">
        <f>IFERROR($L235*$K235,"")</f>
        <v/>
      </c>
      <c r="O235" s="68">
        <f>IFERROR($L235-$M235,"")</f>
        <v/>
      </c>
      <c r="P235" s="68">
        <f>IFERROR($O235-$N235,"")</f>
        <v/>
      </c>
      <c r="Q235" s="69">
        <f>IFERROR($P235/$L235,"")</f>
        <v/>
      </c>
    </row>
    <row r="236" ht="15" customHeight="1" s="47">
      <c r="A236" s="183" t="n">
        <v>46207</v>
      </c>
      <c r="B236" s="182" t="inlineStr">
        <is>
          <t>T01</t>
        </is>
      </c>
      <c r="C236" s="182" t="inlineStr">
        <is>
          <t>EL-049</t>
        </is>
      </c>
      <c r="D236" s="59">
        <f>IFERROR(INDEX(Productos!$B$5:$B$124,MATCH($C236,Productos!$A$5:$A$124,0)),"")</f>
        <v/>
      </c>
      <c r="E236" s="59">
        <f>IFERROR(INDEX(Productos!$D$5:$D$124,MATCH($C236,Productos!$A$5:$A$124,0)),"")</f>
        <v/>
      </c>
      <c r="F236" s="186" t="n">
        <v>1</v>
      </c>
      <c r="G236" s="68">
        <f>IFERROR(INDEX(Productos!$H$5:$H$124,MATCH($C236,Productos!$A$5:$A$124,0)),"")</f>
        <v/>
      </c>
      <c r="H236" s="185" t="n">
        <v>0</v>
      </c>
      <c r="I236" s="68">
        <f>IFERROR($G236*(1-$H236),"")</f>
        <v/>
      </c>
      <c r="J236" s="182" t="inlineStr">
        <is>
          <t>Contado</t>
        </is>
      </c>
      <c r="K236" s="69">
        <f>IF($J236="",0,IF($J236="Contado",Inicio!$C$26,IF($J236="Tarjeta",Inicio!$C$27,IF($J236="Crédito propio",Inicio!$C$28,0))))</f>
        <v/>
      </c>
      <c r="L236" s="68">
        <f>IFERROR($F236*$I236,"")</f>
        <v/>
      </c>
      <c r="M236" s="68">
        <f>IFERROR($F236*INDEX(Productos!$G$5:$G$124,MATCH($C236,Productos!$A$5:$A$124,0)),"")</f>
        <v/>
      </c>
      <c r="N236" s="68">
        <f>IFERROR($L236*$K236,"")</f>
        <v/>
      </c>
      <c r="O236" s="68">
        <f>IFERROR($L236-$M236,"")</f>
        <v/>
      </c>
      <c r="P236" s="68">
        <f>IFERROR($O236-$N236,"")</f>
        <v/>
      </c>
      <c r="Q236" s="69">
        <f>IFERROR($P236/$L236,"")</f>
        <v/>
      </c>
    </row>
    <row r="237" ht="15" customHeight="1" s="47">
      <c r="A237" s="183" t="n">
        <v>46207</v>
      </c>
      <c r="B237" s="182" t="inlineStr">
        <is>
          <t>T01</t>
        </is>
      </c>
      <c r="C237" s="182" t="inlineStr">
        <is>
          <t>EL-050</t>
        </is>
      </c>
      <c r="D237" s="59">
        <f>IFERROR(INDEX(Productos!$B$5:$B$124,MATCH($C237,Productos!$A$5:$A$124,0)),"")</f>
        <v/>
      </c>
      <c r="E237" s="59">
        <f>IFERROR(INDEX(Productos!$D$5:$D$124,MATCH($C237,Productos!$A$5:$A$124,0)),"")</f>
        <v/>
      </c>
      <c r="F237" s="186" t="n">
        <v>1</v>
      </c>
      <c r="G237" s="68">
        <f>IFERROR(INDEX(Productos!$H$5:$H$124,MATCH($C237,Productos!$A$5:$A$124,0)),"")</f>
        <v/>
      </c>
      <c r="H237" s="185" t="n">
        <v>0</v>
      </c>
      <c r="I237" s="68">
        <f>IFERROR($G237*(1-$H237),"")</f>
        <v/>
      </c>
      <c r="J237" s="182" t="inlineStr">
        <is>
          <t>Crédito propio</t>
        </is>
      </c>
      <c r="K237" s="69">
        <f>IF($J237="",0,IF($J237="Contado",Inicio!$C$26,IF($J237="Tarjeta",Inicio!$C$27,IF($J237="Crédito propio",Inicio!$C$28,0))))</f>
        <v/>
      </c>
      <c r="L237" s="68">
        <f>IFERROR($F237*$I237,"")</f>
        <v/>
      </c>
      <c r="M237" s="68">
        <f>IFERROR($F237*INDEX(Productos!$G$5:$G$124,MATCH($C237,Productos!$A$5:$A$124,0)),"")</f>
        <v/>
      </c>
      <c r="N237" s="68">
        <f>IFERROR($L237*$K237,"")</f>
        <v/>
      </c>
      <c r="O237" s="68">
        <f>IFERROR($L237-$M237,"")</f>
        <v/>
      </c>
      <c r="P237" s="68">
        <f>IFERROR($O237-$N237,"")</f>
        <v/>
      </c>
      <c r="Q237" s="69">
        <f>IFERROR($P237/$L237,"")</f>
        <v/>
      </c>
    </row>
    <row r="238" ht="15" customHeight="1" s="47">
      <c r="A238" s="183" t="n">
        <v>46207</v>
      </c>
      <c r="B238" s="182" t="inlineStr">
        <is>
          <t>T02</t>
        </is>
      </c>
      <c r="C238" s="182" t="inlineStr">
        <is>
          <t>EL-003</t>
        </is>
      </c>
      <c r="D238" s="59">
        <f>IFERROR(INDEX(Productos!$B$5:$B$124,MATCH($C238,Productos!$A$5:$A$124,0)),"")</f>
        <v/>
      </c>
      <c r="E238" s="59">
        <f>IFERROR(INDEX(Productos!$D$5:$D$124,MATCH($C238,Productos!$A$5:$A$124,0)),"")</f>
        <v/>
      </c>
      <c r="F238" s="186" t="n">
        <v>1</v>
      </c>
      <c r="G238" s="68">
        <f>IFERROR(INDEX(Productos!$H$5:$H$124,MATCH($C238,Productos!$A$5:$A$124,0)),"")</f>
        <v/>
      </c>
      <c r="H238" s="185" t="n">
        <v>0.05</v>
      </c>
      <c r="I238" s="68">
        <f>IFERROR($G238*(1-$H238),"")</f>
        <v/>
      </c>
      <c r="J238" s="182" t="inlineStr">
        <is>
          <t>Crédito propio</t>
        </is>
      </c>
      <c r="K238" s="69">
        <f>IF($J238="",0,IF($J238="Contado",Inicio!$C$26,IF($J238="Tarjeta",Inicio!$C$27,IF($J238="Crédito propio",Inicio!$C$28,0))))</f>
        <v/>
      </c>
      <c r="L238" s="68">
        <f>IFERROR($F238*$I238,"")</f>
        <v/>
      </c>
      <c r="M238" s="68">
        <f>IFERROR($F238*INDEX(Productos!$G$5:$G$124,MATCH($C238,Productos!$A$5:$A$124,0)),"")</f>
        <v/>
      </c>
      <c r="N238" s="68">
        <f>IFERROR($L238*$K238,"")</f>
        <v/>
      </c>
      <c r="O238" s="68">
        <f>IFERROR($L238-$M238,"")</f>
        <v/>
      </c>
      <c r="P238" s="68">
        <f>IFERROR($O238-$N238,"")</f>
        <v/>
      </c>
      <c r="Q238" s="69">
        <f>IFERROR($P238/$L238,"")</f>
        <v/>
      </c>
    </row>
    <row r="239" ht="15" customHeight="1" s="47">
      <c r="A239" s="183" t="n">
        <v>46207</v>
      </c>
      <c r="B239" s="182" t="inlineStr">
        <is>
          <t>T02</t>
        </is>
      </c>
      <c r="C239" s="182" t="inlineStr">
        <is>
          <t>EL-006</t>
        </is>
      </c>
      <c r="D239" s="59">
        <f>IFERROR(INDEX(Productos!$B$5:$B$124,MATCH($C239,Productos!$A$5:$A$124,0)),"")</f>
        <v/>
      </c>
      <c r="E239" s="59">
        <f>IFERROR(INDEX(Productos!$D$5:$D$124,MATCH($C239,Productos!$A$5:$A$124,0)),"")</f>
        <v/>
      </c>
      <c r="F239" s="186" t="n">
        <v>1</v>
      </c>
      <c r="G239" s="68">
        <f>IFERROR(INDEX(Productos!$H$5:$H$124,MATCH($C239,Productos!$A$5:$A$124,0)),"")</f>
        <v/>
      </c>
      <c r="H239" s="185" t="n">
        <v>0.07000000000000001</v>
      </c>
      <c r="I239" s="68">
        <f>IFERROR($G239*(1-$H239),"")</f>
        <v/>
      </c>
      <c r="J239" s="182" t="inlineStr">
        <is>
          <t>Crédito propio</t>
        </is>
      </c>
      <c r="K239" s="69">
        <f>IF($J239="",0,IF($J239="Contado",Inicio!$C$26,IF($J239="Tarjeta",Inicio!$C$27,IF($J239="Crédito propio",Inicio!$C$28,0))))</f>
        <v/>
      </c>
      <c r="L239" s="68">
        <f>IFERROR($F239*$I239,"")</f>
        <v/>
      </c>
      <c r="M239" s="68">
        <f>IFERROR($F239*INDEX(Productos!$G$5:$G$124,MATCH($C239,Productos!$A$5:$A$124,0)),"")</f>
        <v/>
      </c>
      <c r="N239" s="68">
        <f>IFERROR($L239*$K239,"")</f>
        <v/>
      </c>
      <c r="O239" s="68">
        <f>IFERROR($L239-$M239,"")</f>
        <v/>
      </c>
      <c r="P239" s="68">
        <f>IFERROR($O239-$N239,"")</f>
        <v/>
      </c>
      <c r="Q239" s="69">
        <f>IFERROR($P239/$L239,"")</f>
        <v/>
      </c>
    </row>
    <row r="240" ht="15" customHeight="1" s="47">
      <c r="A240" s="183" t="n">
        <v>46207</v>
      </c>
      <c r="B240" s="182" t="inlineStr">
        <is>
          <t>T02</t>
        </is>
      </c>
      <c r="C240" s="182" t="inlineStr">
        <is>
          <t>EL-008</t>
        </is>
      </c>
      <c r="D240" s="59">
        <f>IFERROR(INDEX(Productos!$B$5:$B$124,MATCH($C240,Productos!$A$5:$A$124,0)),"")</f>
        <v/>
      </c>
      <c r="E240" s="59">
        <f>IFERROR(INDEX(Productos!$D$5:$D$124,MATCH($C240,Productos!$A$5:$A$124,0)),"")</f>
        <v/>
      </c>
      <c r="F240" s="186" t="n">
        <v>1</v>
      </c>
      <c r="G240" s="68">
        <f>IFERROR(INDEX(Productos!$H$5:$H$124,MATCH($C240,Productos!$A$5:$A$124,0)),"")</f>
        <v/>
      </c>
      <c r="H240" s="185" t="n">
        <v>0</v>
      </c>
      <c r="I240" s="68">
        <f>IFERROR($G240*(1-$H240),"")</f>
        <v/>
      </c>
      <c r="J240" s="182" t="inlineStr">
        <is>
          <t>Tarjeta</t>
        </is>
      </c>
      <c r="K240" s="69">
        <f>IF($J240="",0,IF($J240="Contado",Inicio!$C$26,IF($J240="Tarjeta",Inicio!$C$27,IF($J240="Crédito propio",Inicio!$C$28,0))))</f>
        <v/>
      </c>
      <c r="L240" s="68">
        <f>IFERROR($F240*$I240,"")</f>
        <v/>
      </c>
      <c r="M240" s="68">
        <f>IFERROR($F240*INDEX(Productos!$G$5:$G$124,MATCH($C240,Productos!$A$5:$A$124,0)),"")</f>
        <v/>
      </c>
      <c r="N240" s="68">
        <f>IFERROR($L240*$K240,"")</f>
        <v/>
      </c>
      <c r="O240" s="68">
        <f>IFERROR($L240-$M240,"")</f>
        <v/>
      </c>
      <c r="P240" s="68">
        <f>IFERROR($O240-$N240,"")</f>
        <v/>
      </c>
      <c r="Q240" s="69">
        <f>IFERROR($P240/$L240,"")</f>
        <v/>
      </c>
    </row>
    <row r="241" ht="15" customHeight="1" s="47">
      <c r="A241" s="183" t="n">
        <v>46207</v>
      </c>
      <c r="B241" s="182" t="inlineStr">
        <is>
          <t>T02</t>
        </is>
      </c>
      <c r="C241" s="182" t="inlineStr">
        <is>
          <t>EL-016</t>
        </is>
      </c>
      <c r="D241" s="59">
        <f>IFERROR(INDEX(Productos!$B$5:$B$124,MATCH($C241,Productos!$A$5:$A$124,0)),"")</f>
        <v/>
      </c>
      <c r="E241" s="59">
        <f>IFERROR(INDEX(Productos!$D$5:$D$124,MATCH($C241,Productos!$A$5:$A$124,0)),"")</f>
        <v/>
      </c>
      <c r="F241" s="186" t="n">
        <v>2</v>
      </c>
      <c r="G241" s="68">
        <f>IFERROR(INDEX(Productos!$H$5:$H$124,MATCH($C241,Productos!$A$5:$A$124,0)),"")</f>
        <v/>
      </c>
      <c r="H241" s="185" t="n">
        <v>0.03</v>
      </c>
      <c r="I241" s="68">
        <f>IFERROR($G241*(1-$H241),"")</f>
        <v/>
      </c>
      <c r="J241" s="182" t="inlineStr">
        <is>
          <t>Tarjeta</t>
        </is>
      </c>
      <c r="K241" s="69">
        <f>IF($J241="",0,IF($J241="Contado",Inicio!$C$26,IF($J241="Tarjeta",Inicio!$C$27,IF($J241="Crédito propio",Inicio!$C$28,0))))</f>
        <v/>
      </c>
      <c r="L241" s="68">
        <f>IFERROR($F241*$I241,"")</f>
        <v/>
      </c>
      <c r="M241" s="68">
        <f>IFERROR($F241*INDEX(Productos!$G$5:$G$124,MATCH($C241,Productos!$A$5:$A$124,0)),"")</f>
        <v/>
      </c>
      <c r="N241" s="68">
        <f>IFERROR($L241*$K241,"")</f>
        <v/>
      </c>
      <c r="O241" s="68">
        <f>IFERROR($L241-$M241,"")</f>
        <v/>
      </c>
      <c r="P241" s="68">
        <f>IFERROR($O241-$N241,"")</f>
        <v/>
      </c>
      <c r="Q241" s="69">
        <f>IFERROR($P241/$L241,"")</f>
        <v/>
      </c>
    </row>
    <row r="242" ht="15" customHeight="1" s="47">
      <c r="A242" s="183" t="n">
        <v>46207</v>
      </c>
      <c r="B242" s="182" t="inlineStr">
        <is>
          <t>T02</t>
        </is>
      </c>
      <c r="C242" s="182" t="inlineStr">
        <is>
          <t>EL-018</t>
        </is>
      </c>
      <c r="D242" s="59">
        <f>IFERROR(INDEX(Productos!$B$5:$B$124,MATCH($C242,Productos!$A$5:$A$124,0)),"")</f>
        <v/>
      </c>
      <c r="E242" s="59">
        <f>IFERROR(INDEX(Productos!$D$5:$D$124,MATCH($C242,Productos!$A$5:$A$124,0)),"")</f>
        <v/>
      </c>
      <c r="F242" s="186" t="n">
        <v>1</v>
      </c>
      <c r="G242" s="68">
        <f>IFERROR(INDEX(Productos!$H$5:$H$124,MATCH($C242,Productos!$A$5:$A$124,0)),"")</f>
        <v/>
      </c>
      <c r="H242" s="185" t="n">
        <v>0.07377049180327866</v>
      </c>
      <c r="I242" s="68">
        <f>IFERROR($G242*(1-$H242),"")</f>
        <v/>
      </c>
      <c r="J242" s="182" t="inlineStr">
        <is>
          <t>Tarjeta</t>
        </is>
      </c>
      <c r="K242" s="69">
        <f>IF($J242="",0,IF($J242="Contado",Inicio!$C$26,IF($J242="Tarjeta",Inicio!$C$27,IF($J242="Crédito propio",Inicio!$C$28,0))))</f>
        <v/>
      </c>
      <c r="L242" s="68">
        <f>IFERROR($F242*$I242,"")</f>
        <v/>
      </c>
      <c r="M242" s="68">
        <f>IFERROR($F242*INDEX(Productos!$G$5:$G$124,MATCH($C242,Productos!$A$5:$A$124,0)),"")</f>
        <v/>
      </c>
      <c r="N242" s="68">
        <f>IFERROR($L242*$K242,"")</f>
        <v/>
      </c>
      <c r="O242" s="68">
        <f>IFERROR($L242-$M242,"")</f>
        <v/>
      </c>
      <c r="P242" s="68">
        <f>IFERROR($O242-$N242,"")</f>
        <v/>
      </c>
      <c r="Q242" s="69">
        <f>IFERROR($P242/$L242,"")</f>
        <v/>
      </c>
    </row>
    <row r="243" ht="15" customHeight="1" s="47">
      <c r="A243" s="183" t="n">
        <v>46207</v>
      </c>
      <c r="B243" s="182" t="inlineStr">
        <is>
          <t>T02</t>
        </is>
      </c>
      <c r="C243" s="182" t="inlineStr">
        <is>
          <t>EL-020</t>
        </is>
      </c>
      <c r="D243" s="59">
        <f>IFERROR(INDEX(Productos!$B$5:$B$124,MATCH($C243,Productos!$A$5:$A$124,0)),"")</f>
        <v/>
      </c>
      <c r="E243" s="59">
        <f>IFERROR(INDEX(Productos!$D$5:$D$124,MATCH($C243,Productos!$A$5:$A$124,0)),"")</f>
        <v/>
      </c>
      <c r="F243" s="186" t="n">
        <v>1</v>
      </c>
      <c r="G243" s="68">
        <f>IFERROR(INDEX(Productos!$H$5:$H$124,MATCH($C243,Productos!$A$5:$A$124,0)),"")</f>
        <v/>
      </c>
      <c r="H243" s="185" t="n">
        <v>0.06896551724137934</v>
      </c>
      <c r="I243" s="68">
        <f>IFERROR($G243*(1-$H243),"")</f>
        <v/>
      </c>
      <c r="J243" s="182" t="inlineStr">
        <is>
          <t>Tarjeta</t>
        </is>
      </c>
      <c r="K243" s="69">
        <f>IF($J243="",0,IF($J243="Contado",Inicio!$C$26,IF($J243="Tarjeta",Inicio!$C$27,IF($J243="Crédito propio",Inicio!$C$28,0))))</f>
        <v/>
      </c>
      <c r="L243" s="68">
        <f>IFERROR($F243*$I243,"")</f>
        <v/>
      </c>
      <c r="M243" s="68">
        <f>IFERROR($F243*INDEX(Productos!$G$5:$G$124,MATCH($C243,Productos!$A$5:$A$124,0)),"")</f>
        <v/>
      </c>
      <c r="N243" s="68">
        <f>IFERROR($L243*$K243,"")</f>
        <v/>
      </c>
      <c r="O243" s="68">
        <f>IFERROR($L243-$M243,"")</f>
        <v/>
      </c>
      <c r="P243" s="68">
        <f>IFERROR($O243-$N243,"")</f>
        <v/>
      </c>
      <c r="Q243" s="69">
        <f>IFERROR($P243/$L243,"")</f>
        <v/>
      </c>
    </row>
    <row r="244" ht="15" customHeight="1" s="47">
      <c r="A244" s="183" t="n">
        <v>46207</v>
      </c>
      <c r="B244" s="182" t="inlineStr">
        <is>
          <t>T02</t>
        </is>
      </c>
      <c r="C244" s="182" t="inlineStr">
        <is>
          <t>EL-021</t>
        </is>
      </c>
      <c r="D244" s="59">
        <f>IFERROR(INDEX(Productos!$B$5:$B$124,MATCH($C244,Productos!$A$5:$A$124,0)),"")</f>
        <v/>
      </c>
      <c r="E244" s="59">
        <f>IFERROR(INDEX(Productos!$D$5:$D$124,MATCH($C244,Productos!$A$5:$A$124,0)),"")</f>
        <v/>
      </c>
      <c r="F244" s="186" t="n">
        <v>1</v>
      </c>
      <c r="G244" s="68">
        <f>IFERROR(INDEX(Productos!$H$5:$H$124,MATCH($C244,Productos!$A$5:$A$124,0)),"")</f>
        <v/>
      </c>
      <c r="H244" s="185" t="n">
        <v>0.06766917293233088</v>
      </c>
      <c r="I244" s="68">
        <f>IFERROR($G244*(1-$H244),"")</f>
        <v/>
      </c>
      <c r="J244" s="182" t="inlineStr">
        <is>
          <t>Tarjeta</t>
        </is>
      </c>
      <c r="K244" s="69">
        <f>IF($J244="",0,IF($J244="Contado",Inicio!$C$26,IF($J244="Tarjeta",Inicio!$C$27,IF($J244="Crédito propio",Inicio!$C$28,0))))</f>
        <v/>
      </c>
      <c r="L244" s="68">
        <f>IFERROR($F244*$I244,"")</f>
        <v/>
      </c>
      <c r="M244" s="68">
        <f>IFERROR($F244*INDEX(Productos!$G$5:$G$124,MATCH($C244,Productos!$A$5:$A$124,0)),"")</f>
        <v/>
      </c>
      <c r="N244" s="68">
        <f>IFERROR($L244*$K244,"")</f>
        <v/>
      </c>
      <c r="O244" s="68">
        <f>IFERROR($L244-$M244,"")</f>
        <v/>
      </c>
      <c r="P244" s="68">
        <f>IFERROR($O244-$N244,"")</f>
        <v/>
      </c>
      <c r="Q244" s="69">
        <f>IFERROR($P244/$L244,"")</f>
        <v/>
      </c>
    </row>
    <row r="245" ht="15" customHeight="1" s="47">
      <c r="A245" s="183" t="n">
        <v>46207</v>
      </c>
      <c r="B245" s="182" t="inlineStr">
        <is>
          <t>T02</t>
        </is>
      </c>
      <c r="C245" s="182" t="inlineStr">
        <is>
          <t>EL-024</t>
        </is>
      </c>
      <c r="D245" s="59">
        <f>IFERROR(INDEX(Productos!$B$5:$B$124,MATCH($C245,Productos!$A$5:$A$124,0)),"")</f>
        <v/>
      </c>
      <c r="E245" s="59">
        <f>IFERROR(INDEX(Productos!$D$5:$D$124,MATCH($C245,Productos!$A$5:$A$124,0)),"")</f>
        <v/>
      </c>
      <c r="F245" s="186" t="n">
        <v>1</v>
      </c>
      <c r="G245" s="68">
        <f>IFERROR(INDEX(Productos!$H$5:$H$124,MATCH($C245,Productos!$A$5:$A$124,0)),"")</f>
        <v/>
      </c>
      <c r="H245" s="185" t="n">
        <v>0</v>
      </c>
      <c r="I245" s="68">
        <f>IFERROR($G245*(1-$H245),"")</f>
        <v/>
      </c>
      <c r="J245" s="182" t="inlineStr">
        <is>
          <t>Contado</t>
        </is>
      </c>
      <c r="K245" s="69">
        <f>IF($J245="",0,IF($J245="Contado",Inicio!$C$26,IF($J245="Tarjeta",Inicio!$C$27,IF($J245="Crédito propio",Inicio!$C$28,0))))</f>
        <v/>
      </c>
      <c r="L245" s="68">
        <f>IFERROR($F245*$I245,"")</f>
        <v/>
      </c>
      <c r="M245" s="68">
        <f>IFERROR($F245*INDEX(Productos!$G$5:$G$124,MATCH($C245,Productos!$A$5:$A$124,0)),"")</f>
        <v/>
      </c>
      <c r="N245" s="68">
        <f>IFERROR($L245*$K245,"")</f>
        <v/>
      </c>
      <c r="O245" s="68">
        <f>IFERROR($L245-$M245,"")</f>
        <v/>
      </c>
      <c r="P245" s="68">
        <f>IFERROR($O245-$N245,"")</f>
        <v/>
      </c>
      <c r="Q245" s="69">
        <f>IFERROR($P245/$L245,"")</f>
        <v/>
      </c>
    </row>
    <row r="246" ht="15" customHeight="1" s="47">
      <c r="A246" s="183" t="n">
        <v>46207</v>
      </c>
      <c r="B246" s="182" t="inlineStr">
        <is>
          <t>T02</t>
        </is>
      </c>
      <c r="C246" s="182" t="inlineStr">
        <is>
          <t>EL-025</t>
        </is>
      </c>
      <c r="D246" s="59">
        <f>IFERROR(INDEX(Productos!$B$5:$B$124,MATCH($C246,Productos!$A$5:$A$124,0)),"")</f>
        <v/>
      </c>
      <c r="E246" s="59">
        <f>IFERROR(INDEX(Productos!$D$5:$D$124,MATCH($C246,Productos!$A$5:$A$124,0)),"")</f>
        <v/>
      </c>
      <c r="F246" s="186" t="n">
        <v>1</v>
      </c>
      <c r="G246" s="68">
        <f>IFERROR(INDEX(Productos!$H$5:$H$124,MATCH($C246,Productos!$A$5:$A$124,0)),"")</f>
        <v/>
      </c>
      <c r="H246" s="185" t="n">
        <v>0.03</v>
      </c>
      <c r="I246" s="68">
        <f>IFERROR($G246*(1-$H246),"")</f>
        <v/>
      </c>
      <c r="J246" s="182" t="inlineStr">
        <is>
          <t>Tarjeta</t>
        </is>
      </c>
      <c r="K246" s="69">
        <f>IF($J246="",0,IF($J246="Contado",Inicio!$C$26,IF($J246="Tarjeta",Inicio!$C$27,IF($J246="Crédito propio",Inicio!$C$28,0))))</f>
        <v/>
      </c>
      <c r="L246" s="68">
        <f>IFERROR($F246*$I246,"")</f>
        <v/>
      </c>
      <c r="M246" s="68">
        <f>IFERROR($F246*INDEX(Productos!$G$5:$G$124,MATCH($C246,Productos!$A$5:$A$124,0)),"")</f>
        <v/>
      </c>
      <c r="N246" s="68">
        <f>IFERROR($L246*$K246,"")</f>
        <v/>
      </c>
      <c r="O246" s="68">
        <f>IFERROR($L246-$M246,"")</f>
        <v/>
      </c>
      <c r="P246" s="68">
        <f>IFERROR($O246-$N246,"")</f>
        <v/>
      </c>
      <c r="Q246" s="69">
        <f>IFERROR($P246/$L246,"")</f>
        <v/>
      </c>
    </row>
    <row r="247" ht="15" customHeight="1" s="47">
      <c r="A247" s="183" t="n">
        <v>46207</v>
      </c>
      <c r="B247" s="182" t="inlineStr">
        <is>
          <t>T02</t>
        </is>
      </c>
      <c r="C247" s="182" t="inlineStr">
        <is>
          <t>EL-026</t>
        </is>
      </c>
      <c r="D247" s="59">
        <f>IFERROR(INDEX(Productos!$B$5:$B$124,MATCH($C247,Productos!$A$5:$A$124,0)),"")</f>
        <v/>
      </c>
      <c r="E247" s="59">
        <f>IFERROR(INDEX(Productos!$D$5:$D$124,MATCH($C247,Productos!$A$5:$A$124,0)),"")</f>
        <v/>
      </c>
      <c r="F247" s="186" t="n">
        <v>1</v>
      </c>
      <c r="G247" s="68">
        <f>IFERROR(INDEX(Productos!$H$5:$H$124,MATCH($C247,Productos!$A$5:$A$124,0)),"")</f>
        <v/>
      </c>
      <c r="H247" s="185" t="n">
        <v>0</v>
      </c>
      <c r="I247" s="68">
        <f>IFERROR($G247*(1-$H247),"")</f>
        <v/>
      </c>
      <c r="J247" s="182" t="inlineStr">
        <is>
          <t>Tarjeta</t>
        </is>
      </c>
      <c r="K247" s="69">
        <f>IF($J247="",0,IF($J247="Contado",Inicio!$C$26,IF($J247="Tarjeta",Inicio!$C$27,IF($J247="Crédito propio",Inicio!$C$28,0))))</f>
        <v/>
      </c>
      <c r="L247" s="68">
        <f>IFERROR($F247*$I247,"")</f>
        <v/>
      </c>
      <c r="M247" s="68">
        <f>IFERROR($F247*INDEX(Productos!$G$5:$G$124,MATCH($C247,Productos!$A$5:$A$124,0)),"")</f>
        <v/>
      </c>
      <c r="N247" s="68">
        <f>IFERROR($L247*$K247,"")</f>
        <v/>
      </c>
      <c r="O247" s="68">
        <f>IFERROR($L247-$M247,"")</f>
        <v/>
      </c>
      <c r="P247" s="68">
        <f>IFERROR($O247-$N247,"")</f>
        <v/>
      </c>
      <c r="Q247" s="69">
        <f>IFERROR($P247/$L247,"")</f>
        <v/>
      </c>
    </row>
    <row r="248" ht="15" customHeight="1" s="47">
      <c r="A248" s="183" t="n">
        <v>46207</v>
      </c>
      <c r="B248" s="182" t="inlineStr">
        <is>
          <t>T02</t>
        </is>
      </c>
      <c r="C248" s="182" t="inlineStr">
        <is>
          <t>EL-028</t>
        </is>
      </c>
      <c r="D248" s="59">
        <f>IFERROR(INDEX(Productos!$B$5:$B$124,MATCH($C248,Productos!$A$5:$A$124,0)),"")</f>
        <v/>
      </c>
      <c r="E248" s="59">
        <f>IFERROR(INDEX(Productos!$D$5:$D$124,MATCH($C248,Productos!$A$5:$A$124,0)),"")</f>
        <v/>
      </c>
      <c r="F248" s="186" t="n">
        <v>2</v>
      </c>
      <c r="G248" s="68">
        <f>IFERROR(INDEX(Productos!$H$5:$H$124,MATCH($C248,Productos!$A$5:$A$124,0)),"")</f>
        <v/>
      </c>
      <c r="H248" s="185" t="n">
        <v>0</v>
      </c>
      <c r="I248" s="68">
        <f>IFERROR($G248*(1-$H248),"")</f>
        <v/>
      </c>
      <c r="J248" s="182" t="inlineStr">
        <is>
          <t>Crédito propio</t>
        </is>
      </c>
      <c r="K248" s="69">
        <f>IF($J248="",0,IF($J248="Contado",Inicio!$C$26,IF($J248="Tarjeta",Inicio!$C$27,IF($J248="Crédito propio",Inicio!$C$28,0))))</f>
        <v/>
      </c>
      <c r="L248" s="68">
        <f>IFERROR($F248*$I248,"")</f>
        <v/>
      </c>
      <c r="M248" s="68">
        <f>IFERROR($F248*INDEX(Productos!$G$5:$G$124,MATCH($C248,Productos!$A$5:$A$124,0)),"")</f>
        <v/>
      </c>
      <c r="N248" s="68">
        <f>IFERROR($L248*$K248,"")</f>
        <v/>
      </c>
      <c r="O248" s="68">
        <f>IFERROR($L248-$M248,"")</f>
        <v/>
      </c>
      <c r="P248" s="68">
        <f>IFERROR($O248-$N248,"")</f>
        <v/>
      </c>
      <c r="Q248" s="69">
        <f>IFERROR($P248/$L248,"")</f>
        <v/>
      </c>
    </row>
    <row r="249" ht="15" customHeight="1" s="47">
      <c r="A249" s="183" t="n">
        <v>46207</v>
      </c>
      <c r="B249" s="182" t="inlineStr">
        <is>
          <t>T02</t>
        </is>
      </c>
      <c r="C249" s="182" t="inlineStr">
        <is>
          <t>EL-030</t>
        </is>
      </c>
      <c r="D249" s="59">
        <f>IFERROR(INDEX(Productos!$B$5:$B$124,MATCH($C249,Productos!$A$5:$A$124,0)),"")</f>
        <v/>
      </c>
      <c r="E249" s="59">
        <f>IFERROR(INDEX(Productos!$D$5:$D$124,MATCH($C249,Productos!$A$5:$A$124,0)),"")</f>
        <v/>
      </c>
      <c r="F249" s="186" t="n">
        <v>1</v>
      </c>
      <c r="G249" s="68">
        <f>IFERROR(INDEX(Productos!$H$5:$H$124,MATCH($C249,Productos!$A$5:$A$124,0)),"")</f>
        <v/>
      </c>
      <c r="H249" s="185" t="n">
        <v>0</v>
      </c>
      <c r="I249" s="68">
        <f>IFERROR($G249*(1-$H249),"")</f>
        <v/>
      </c>
      <c r="J249" s="182" t="inlineStr">
        <is>
          <t>Contado</t>
        </is>
      </c>
      <c r="K249" s="69">
        <f>IF($J249="",0,IF($J249="Contado",Inicio!$C$26,IF($J249="Tarjeta",Inicio!$C$27,IF($J249="Crédito propio",Inicio!$C$28,0))))</f>
        <v/>
      </c>
      <c r="L249" s="68">
        <f>IFERROR($F249*$I249,"")</f>
        <v/>
      </c>
      <c r="M249" s="68">
        <f>IFERROR($F249*INDEX(Productos!$G$5:$G$124,MATCH($C249,Productos!$A$5:$A$124,0)),"")</f>
        <v/>
      </c>
      <c r="N249" s="68">
        <f>IFERROR($L249*$K249,"")</f>
        <v/>
      </c>
      <c r="O249" s="68">
        <f>IFERROR($L249-$M249,"")</f>
        <v/>
      </c>
      <c r="P249" s="68">
        <f>IFERROR($O249-$N249,"")</f>
        <v/>
      </c>
      <c r="Q249" s="69">
        <f>IFERROR($P249/$L249,"")</f>
        <v/>
      </c>
    </row>
    <row r="250" ht="15" customHeight="1" s="47">
      <c r="A250" s="183" t="n">
        <v>46207</v>
      </c>
      <c r="B250" s="182" t="inlineStr">
        <is>
          <t>T02</t>
        </is>
      </c>
      <c r="C250" s="182" t="inlineStr">
        <is>
          <t>EL-031</t>
        </is>
      </c>
      <c r="D250" s="59">
        <f>IFERROR(INDEX(Productos!$B$5:$B$124,MATCH($C250,Productos!$A$5:$A$124,0)),"")</f>
        <v/>
      </c>
      <c r="E250" s="59">
        <f>IFERROR(INDEX(Productos!$D$5:$D$124,MATCH($C250,Productos!$A$5:$A$124,0)),"")</f>
        <v/>
      </c>
      <c r="F250" s="186" t="n">
        <v>1</v>
      </c>
      <c r="G250" s="68">
        <f>IFERROR(INDEX(Productos!$H$5:$H$124,MATCH($C250,Productos!$A$5:$A$124,0)),"")</f>
        <v/>
      </c>
      <c r="H250" s="185" t="n">
        <v>0</v>
      </c>
      <c r="I250" s="68">
        <f>IFERROR($G250*(1-$H250),"")</f>
        <v/>
      </c>
      <c r="J250" s="182" t="inlineStr">
        <is>
          <t>Contado</t>
        </is>
      </c>
      <c r="K250" s="69">
        <f>IF($J250="",0,IF($J250="Contado",Inicio!$C$26,IF($J250="Tarjeta",Inicio!$C$27,IF($J250="Crédito propio",Inicio!$C$28,0))))</f>
        <v/>
      </c>
      <c r="L250" s="68">
        <f>IFERROR($F250*$I250,"")</f>
        <v/>
      </c>
      <c r="M250" s="68">
        <f>IFERROR($F250*INDEX(Productos!$G$5:$G$124,MATCH($C250,Productos!$A$5:$A$124,0)),"")</f>
        <v/>
      </c>
      <c r="N250" s="68">
        <f>IFERROR($L250*$K250,"")</f>
        <v/>
      </c>
      <c r="O250" s="68">
        <f>IFERROR($L250-$M250,"")</f>
        <v/>
      </c>
      <c r="P250" s="68">
        <f>IFERROR($O250-$N250,"")</f>
        <v/>
      </c>
      <c r="Q250" s="69">
        <f>IFERROR($P250/$L250,"")</f>
        <v/>
      </c>
    </row>
    <row r="251" ht="15" customHeight="1" s="47">
      <c r="A251" s="183" t="n">
        <v>46207</v>
      </c>
      <c r="B251" s="182" t="inlineStr">
        <is>
          <t>T02</t>
        </is>
      </c>
      <c r="C251" s="182" t="inlineStr">
        <is>
          <t>EL-035</t>
        </is>
      </c>
      <c r="D251" s="59">
        <f>IFERROR(INDEX(Productos!$B$5:$B$124,MATCH($C251,Productos!$A$5:$A$124,0)),"")</f>
        <v/>
      </c>
      <c r="E251" s="59">
        <f>IFERROR(INDEX(Productos!$D$5:$D$124,MATCH($C251,Productos!$A$5:$A$124,0)),"")</f>
        <v/>
      </c>
      <c r="F251" s="186" t="n">
        <v>1</v>
      </c>
      <c r="G251" s="68">
        <f>IFERROR(INDEX(Productos!$H$5:$H$124,MATCH($C251,Productos!$A$5:$A$124,0)),"")</f>
        <v/>
      </c>
      <c r="H251" s="185" t="n">
        <v>0.06976744186046513</v>
      </c>
      <c r="I251" s="68">
        <f>IFERROR($G251*(1-$H251),"")</f>
        <v/>
      </c>
      <c r="J251" s="182" t="inlineStr">
        <is>
          <t>Contado</t>
        </is>
      </c>
      <c r="K251" s="69">
        <f>IF($J251="",0,IF($J251="Contado",Inicio!$C$26,IF($J251="Tarjeta",Inicio!$C$27,IF($J251="Crédito propio",Inicio!$C$28,0))))</f>
        <v/>
      </c>
      <c r="L251" s="68">
        <f>IFERROR($F251*$I251,"")</f>
        <v/>
      </c>
      <c r="M251" s="68">
        <f>IFERROR($F251*INDEX(Productos!$G$5:$G$124,MATCH($C251,Productos!$A$5:$A$124,0)),"")</f>
        <v/>
      </c>
      <c r="N251" s="68">
        <f>IFERROR($L251*$K251,"")</f>
        <v/>
      </c>
      <c r="O251" s="68">
        <f>IFERROR($L251-$M251,"")</f>
        <v/>
      </c>
      <c r="P251" s="68">
        <f>IFERROR($O251-$N251,"")</f>
        <v/>
      </c>
      <c r="Q251" s="69">
        <f>IFERROR($P251/$L251,"")</f>
        <v/>
      </c>
    </row>
    <row r="252" ht="15" customHeight="1" s="47">
      <c r="A252" s="183" t="n">
        <v>46207</v>
      </c>
      <c r="B252" s="182" t="inlineStr">
        <is>
          <t>T02</t>
        </is>
      </c>
      <c r="C252" s="182" t="inlineStr">
        <is>
          <t>EL-038</t>
        </is>
      </c>
      <c r="D252" s="59">
        <f>IFERROR(INDEX(Productos!$B$5:$B$124,MATCH($C252,Productos!$A$5:$A$124,0)),"")</f>
        <v/>
      </c>
      <c r="E252" s="59">
        <f>IFERROR(INDEX(Productos!$D$5:$D$124,MATCH($C252,Productos!$A$5:$A$124,0)),"")</f>
        <v/>
      </c>
      <c r="F252" s="186" t="n">
        <v>1</v>
      </c>
      <c r="G252" s="68">
        <f>IFERROR(INDEX(Productos!$H$5:$H$124,MATCH($C252,Productos!$A$5:$A$124,0)),"")</f>
        <v/>
      </c>
      <c r="H252" s="185" t="n">
        <v>0.068</v>
      </c>
      <c r="I252" s="68">
        <f>IFERROR($G252*(1-$H252),"")</f>
        <v/>
      </c>
      <c r="J252" s="182" t="inlineStr">
        <is>
          <t>Contado</t>
        </is>
      </c>
      <c r="K252" s="69">
        <f>IF($J252="",0,IF($J252="Contado",Inicio!$C$26,IF($J252="Tarjeta",Inicio!$C$27,IF($J252="Crédito propio",Inicio!$C$28,0))))</f>
        <v/>
      </c>
      <c r="L252" s="68">
        <f>IFERROR($F252*$I252,"")</f>
        <v/>
      </c>
      <c r="M252" s="68">
        <f>IFERROR($F252*INDEX(Productos!$G$5:$G$124,MATCH($C252,Productos!$A$5:$A$124,0)),"")</f>
        <v/>
      </c>
      <c r="N252" s="68">
        <f>IFERROR($L252*$K252,"")</f>
        <v/>
      </c>
      <c r="O252" s="68">
        <f>IFERROR($L252-$M252,"")</f>
        <v/>
      </c>
      <c r="P252" s="68">
        <f>IFERROR($O252-$N252,"")</f>
        <v/>
      </c>
      <c r="Q252" s="69">
        <f>IFERROR($P252/$L252,"")</f>
        <v/>
      </c>
    </row>
    <row r="253" ht="15" customHeight="1" s="47">
      <c r="A253" s="183" t="n">
        <v>46207</v>
      </c>
      <c r="B253" s="182" t="inlineStr">
        <is>
          <t>T02</t>
        </is>
      </c>
      <c r="C253" s="182" t="inlineStr">
        <is>
          <t>EL-039</t>
        </is>
      </c>
      <c r="D253" s="59">
        <f>IFERROR(INDEX(Productos!$B$5:$B$124,MATCH($C253,Productos!$A$5:$A$124,0)),"")</f>
        <v/>
      </c>
      <c r="E253" s="59">
        <f>IFERROR(INDEX(Productos!$D$5:$D$124,MATCH($C253,Productos!$A$5:$A$124,0)),"")</f>
        <v/>
      </c>
      <c r="F253" s="186" t="n">
        <v>1</v>
      </c>
      <c r="G253" s="68">
        <f>IFERROR(INDEX(Productos!$H$5:$H$124,MATCH($C253,Productos!$A$5:$A$124,0)),"")</f>
        <v/>
      </c>
      <c r="H253" s="185" t="n">
        <v>0</v>
      </c>
      <c r="I253" s="68">
        <f>IFERROR($G253*(1-$H253),"")</f>
        <v/>
      </c>
      <c r="J253" s="182" t="inlineStr">
        <is>
          <t>Crédito propio</t>
        </is>
      </c>
      <c r="K253" s="69">
        <f>IF($J253="",0,IF($J253="Contado",Inicio!$C$26,IF($J253="Tarjeta",Inicio!$C$27,IF($J253="Crédito propio",Inicio!$C$28,0))))</f>
        <v/>
      </c>
      <c r="L253" s="68">
        <f>IFERROR($F253*$I253,"")</f>
        <v/>
      </c>
      <c r="M253" s="68">
        <f>IFERROR($F253*INDEX(Productos!$G$5:$G$124,MATCH($C253,Productos!$A$5:$A$124,0)),"")</f>
        <v/>
      </c>
      <c r="N253" s="68">
        <f>IFERROR($L253*$K253,"")</f>
        <v/>
      </c>
      <c r="O253" s="68">
        <f>IFERROR($L253-$M253,"")</f>
        <v/>
      </c>
      <c r="P253" s="68">
        <f>IFERROR($O253-$N253,"")</f>
        <v/>
      </c>
      <c r="Q253" s="69">
        <f>IFERROR($P253/$L253,"")</f>
        <v/>
      </c>
    </row>
    <row r="254" ht="15" customHeight="1" s="47">
      <c r="A254" s="183" t="n">
        <v>46207</v>
      </c>
      <c r="B254" s="182" t="inlineStr">
        <is>
          <t>T02</t>
        </is>
      </c>
      <c r="C254" s="182" t="inlineStr">
        <is>
          <t>EL-043</t>
        </is>
      </c>
      <c r="D254" s="59">
        <f>IFERROR(INDEX(Productos!$B$5:$B$124,MATCH($C254,Productos!$A$5:$A$124,0)),"")</f>
        <v/>
      </c>
      <c r="E254" s="59">
        <f>IFERROR(INDEX(Productos!$D$5:$D$124,MATCH($C254,Productos!$A$5:$A$124,0)),"")</f>
        <v/>
      </c>
      <c r="F254" s="186" t="n">
        <v>1</v>
      </c>
      <c r="G254" s="68">
        <f>IFERROR(INDEX(Productos!$H$5:$H$124,MATCH($C254,Productos!$A$5:$A$124,0)),"")</f>
        <v/>
      </c>
      <c r="H254" s="185" t="n">
        <v>0.07272727272727275</v>
      </c>
      <c r="I254" s="68">
        <f>IFERROR($G254*(1-$H254),"")</f>
        <v/>
      </c>
      <c r="J254" s="182" t="inlineStr">
        <is>
          <t>Tarjeta</t>
        </is>
      </c>
      <c r="K254" s="69">
        <f>IF($J254="",0,IF($J254="Contado",Inicio!$C$26,IF($J254="Tarjeta",Inicio!$C$27,IF($J254="Crédito propio",Inicio!$C$28,0))))</f>
        <v/>
      </c>
      <c r="L254" s="68">
        <f>IFERROR($F254*$I254,"")</f>
        <v/>
      </c>
      <c r="M254" s="68">
        <f>IFERROR($F254*INDEX(Productos!$G$5:$G$124,MATCH($C254,Productos!$A$5:$A$124,0)),"")</f>
        <v/>
      </c>
      <c r="N254" s="68">
        <f>IFERROR($L254*$K254,"")</f>
        <v/>
      </c>
      <c r="O254" s="68">
        <f>IFERROR($L254-$M254,"")</f>
        <v/>
      </c>
      <c r="P254" s="68">
        <f>IFERROR($O254-$N254,"")</f>
        <v/>
      </c>
      <c r="Q254" s="69">
        <f>IFERROR($P254/$L254,"")</f>
        <v/>
      </c>
    </row>
    <row r="255" ht="15" customHeight="1" s="47">
      <c r="A255" s="183" t="n">
        <v>46207</v>
      </c>
      <c r="B255" s="182" t="inlineStr">
        <is>
          <t>T02</t>
        </is>
      </c>
      <c r="C255" s="182" t="inlineStr">
        <is>
          <t>EL-046</t>
        </is>
      </c>
      <c r="D255" s="59">
        <f>IFERROR(INDEX(Productos!$B$5:$B$124,MATCH($C255,Productos!$A$5:$A$124,0)),"")</f>
        <v/>
      </c>
      <c r="E255" s="59">
        <f>IFERROR(INDEX(Productos!$D$5:$D$124,MATCH($C255,Productos!$A$5:$A$124,0)),"")</f>
        <v/>
      </c>
      <c r="F255" s="186" t="n">
        <v>1</v>
      </c>
      <c r="G255" s="68">
        <f>IFERROR(INDEX(Productos!$H$5:$H$124,MATCH($C255,Productos!$A$5:$A$124,0)),"")</f>
        <v/>
      </c>
      <c r="H255" s="185" t="n">
        <v>0.06122448979591832</v>
      </c>
      <c r="I255" s="68">
        <f>IFERROR($G255*(1-$H255),"")</f>
        <v/>
      </c>
      <c r="J255" s="182" t="inlineStr">
        <is>
          <t>Crédito propio</t>
        </is>
      </c>
      <c r="K255" s="69">
        <f>IF($J255="",0,IF($J255="Contado",Inicio!$C$26,IF($J255="Tarjeta",Inicio!$C$27,IF($J255="Crédito propio",Inicio!$C$28,0))))</f>
        <v/>
      </c>
      <c r="L255" s="68">
        <f>IFERROR($F255*$I255,"")</f>
        <v/>
      </c>
      <c r="M255" s="68">
        <f>IFERROR($F255*INDEX(Productos!$G$5:$G$124,MATCH($C255,Productos!$A$5:$A$124,0)),"")</f>
        <v/>
      </c>
      <c r="N255" s="68">
        <f>IFERROR($L255*$K255,"")</f>
        <v/>
      </c>
      <c r="O255" s="68">
        <f>IFERROR($L255-$M255,"")</f>
        <v/>
      </c>
      <c r="P255" s="68">
        <f>IFERROR($O255-$N255,"")</f>
        <v/>
      </c>
      <c r="Q255" s="69">
        <f>IFERROR($P255/$L255,"")</f>
        <v/>
      </c>
    </row>
    <row r="256" ht="15" customHeight="1" s="47">
      <c r="A256" s="183" t="n">
        <v>46207</v>
      </c>
      <c r="B256" s="182" t="inlineStr">
        <is>
          <t>T03</t>
        </is>
      </c>
      <c r="C256" s="182" t="inlineStr">
        <is>
          <t>EL-001</t>
        </is>
      </c>
      <c r="D256" s="59">
        <f>IFERROR(INDEX(Productos!$B$5:$B$124,MATCH($C256,Productos!$A$5:$A$124,0)),"")</f>
        <v/>
      </c>
      <c r="E256" s="59">
        <f>IFERROR(INDEX(Productos!$D$5:$D$124,MATCH($C256,Productos!$A$5:$A$124,0)),"")</f>
        <v/>
      </c>
      <c r="F256" s="186" t="n">
        <v>2</v>
      </c>
      <c r="G256" s="68">
        <f>IFERROR(INDEX(Productos!$H$5:$H$124,MATCH($C256,Productos!$A$5:$A$124,0)),"")</f>
        <v/>
      </c>
      <c r="H256" s="185" t="n">
        <v>0</v>
      </c>
      <c r="I256" s="68">
        <f>IFERROR($G256*(1-$H256),"")</f>
        <v/>
      </c>
      <c r="J256" s="182" t="inlineStr">
        <is>
          <t>Crédito propio</t>
        </is>
      </c>
      <c r="K256" s="69">
        <f>IF($J256="",0,IF($J256="Contado",Inicio!$C$26,IF($J256="Tarjeta",Inicio!$C$27,IF($J256="Crédito propio",Inicio!$C$28,0))))</f>
        <v/>
      </c>
      <c r="L256" s="68">
        <f>IFERROR($F256*$I256,"")</f>
        <v/>
      </c>
      <c r="M256" s="68">
        <f>IFERROR($F256*INDEX(Productos!$G$5:$G$124,MATCH($C256,Productos!$A$5:$A$124,0)),"")</f>
        <v/>
      </c>
      <c r="N256" s="68">
        <f>IFERROR($L256*$K256,"")</f>
        <v/>
      </c>
      <c r="O256" s="68">
        <f>IFERROR($L256-$M256,"")</f>
        <v/>
      </c>
      <c r="P256" s="68">
        <f>IFERROR($O256-$N256,"")</f>
        <v/>
      </c>
      <c r="Q256" s="69">
        <f>IFERROR($P256/$L256,"")</f>
        <v/>
      </c>
    </row>
    <row r="257" ht="15" customHeight="1" s="47">
      <c r="A257" s="183" t="n">
        <v>46207</v>
      </c>
      <c r="B257" s="182" t="inlineStr">
        <is>
          <t>T03</t>
        </is>
      </c>
      <c r="C257" s="182" t="inlineStr">
        <is>
          <t>EL-003</t>
        </is>
      </c>
      <c r="D257" s="59">
        <f>IFERROR(INDEX(Productos!$B$5:$B$124,MATCH($C257,Productos!$A$5:$A$124,0)),"")</f>
        <v/>
      </c>
      <c r="E257" s="59">
        <f>IFERROR(INDEX(Productos!$D$5:$D$124,MATCH($C257,Productos!$A$5:$A$124,0)),"")</f>
        <v/>
      </c>
      <c r="F257" s="186" t="n">
        <v>1</v>
      </c>
      <c r="G257" s="68">
        <f>IFERROR(INDEX(Productos!$H$5:$H$124,MATCH($C257,Productos!$A$5:$A$124,0)),"")</f>
        <v/>
      </c>
      <c r="H257" s="185" t="n">
        <v>0</v>
      </c>
      <c r="I257" s="68">
        <f>IFERROR($G257*(1-$H257),"")</f>
        <v/>
      </c>
      <c r="J257" s="182" t="inlineStr">
        <is>
          <t>Crédito propio</t>
        </is>
      </c>
      <c r="K257" s="69">
        <f>IF($J257="",0,IF($J257="Contado",Inicio!$C$26,IF($J257="Tarjeta",Inicio!$C$27,IF($J257="Crédito propio",Inicio!$C$28,0))))</f>
        <v/>
      </c>
      <c r="L257" s="68">
        <f>IFERROR($F257*$I257,"")</f>
        <v/>
      </c>
      <c r="M257" s="68">
        <f>IFERROR($F257*INDEX(Productos!$G$5:$G$124,MATCH($C257,Productos!$A$5:$A$124,0)),"")</f>
        <v/>
      </c>
      <c r="N257" s="68">
        <f>IFERROR($L257*$K257,"")</f>
        <v/>
      </c>
      <c r="O257" s="68">
        <f>IFERROR($L257-$M257,"")</f>
        <v/>
      </c>
      <c r="P257" s="68">
        <f>IFERROR($O257-$N257,"")</f>
        <v/>
      </c>
      <c r="Q257" s="69">
        <f>IFERROR($P257/$L257,"")</f>
        <v/>
      </c>
    </row>
    <row r="258" ht="15" customHeight="1" s="47">
      <c r="A258" s="183" t="n">
        <v>46207</v>
      </c>
      <c r="B258" s="182" t="inlineStr">
        <is>
          <t>T03</t>
        </is>
      </c>
      <c r="C258" s="182" t="inlineStr">
        <is>
          <t>EL-008</t>
        </is>
      </c>
      <c r="D258" s="59">
        <f>IFERROR(INDEX(Productos!$B$5:$B$124,MATCH($C258,Productos!$A$5:$A$124,0)),"")</f>
        <v/>
      </c>
      <c r="E258" s="59">
        <f>IFERROR(INDEX(Productos!$D$5:$D$124,MATCH($C258,Productos!$A$5:$A$124,0)),"")</f>
        <v/>
      </c>
      <c r="F258" s="186" t="n">
        <v>2</v>
      </c>
      <c r="G258" s="68">
        <f>IFERROR(INDEX(Productos!$H$5:$H$124,MATCH($C258,Productos!$A$5:$A$124,0)),"")</f>
        <v/>
      </c>
      <c r="H258" s="185" t="n">
        <v>0</v>
      </c>
      <c r="I258" s="68">
        <f>IFERROR($G258*(1-$H258),"")</f>
        <v/>
      </c>
      <c r="J258" s="182" t="inlineStr">
        <is>
          <t>Crédito propio</t>
        </is>
      </c>
      <c r="K258" s="69">
        <f>IF($J258="",0,IF($J258="Contado",Inicio!$C$26,IF($J258="Tarjeta",Inicio!$C$27,IF($J258="Crédito propio",Inicio!$C$28,0))))</f>
        <v/>
      </c>
      <c r="L258" s="68">
        <f>IFERROR($F258*$I258,"")</f>
        <v/>
      </c>
      <c r="M258" s="68">
        <f>IFERROR($F258*INDEX(Productos!$G$5:$G$124,MATCH($C258,Productos!$A$5:$A$124,0)),"")</f>
        <v/>
      </c>
      <c r="N258" s="68">
        <f>IFERROR($L258*$K258,"")</f>
        <v/>
      </c>
      <c r="O258" s="68">
        <f>IFERROR($L258-$M258,"")</f>
        <v/>
      </c>
      <c r="P258" s="68">
        <f>IFERROR($O258-$N258,"")</f>
        <v/>
      </c>
      <c r="Q258" s="69">
        <f>IFERROR($P258/$L258,"")</f>
        <v/>
      </c>
    </row>
    <row r="259" ht="15" customHeight="1" s="47">
      <c r="A259" s="183" t="n">
        <v>46207</v>
      </c>
      <c r="B259" s="182" t="inlineStr">
        <is>
          <t>T03</t>
        </is>
      </c>
      <c r="C259" s="182" t="inlineStr">
        <is>
          <t>EL-013</t>
        </is>
      </c>
      <c r="D259" s="59">
        <f>IFERROR(INDEX(Productos!$B$5:$B$124,MATCH($C259,Productos!$A$5:$A$124,0)),"")</f>
        <v/>
      </c>
      <c r="E259" s="59">
        <f>IFERROR(INDEX(Productos!$D$5:$D$124,MATCH($C259,Productos!$A$5:$A$124,0)),"")</f>
        <v/>
      </c>
      <c r="F259" s="186" t="n">
        <v>1</v>
      </c>
      <c r="G259" s="68">
        <f>IFERROR(INDEX(Productos!$H$5:$H$124,MATCH($C259,Productos!$A$5:$A$124,0)),"")</f>
        <v/>
      </c>
      <c r="H259" s="185" t="n">
        <v>0.07000000000000001</v>
      </c>
      <c r="I259" s="68">
        <f>IFERROR($G259*(1-$H259),"")</f>
        <v/>
      </c>
      <c r="J259" s="182" t="inlineStr">
        <is>
          <t>Contado</t>
        </is>
      </c>
      <c r="K259" s="69">
        <f>IF($J259="",0,IF($J259="Contado",Inicio!$C$26,IF($J259="Tarjeta",Inicio!$C$27,IF($J259="Crédito propio",Inicio!$C$28,0))))</f>
        <v/>
      </c>
      <c r="L259" s="68">
        <f>IFERROR($F259*$I259,"")</f>
        <v/>
      </c>
      <c r="M259" s="68">
        <f>IFERROR($F259*INDEX(Productos!$G$5:$G$124,MATCH($C259,Productos!$A$5:$A$124,0)),"")</f>
        <v/>
      </c>
      <c r="N259" s="68">
        <f>IFERROR($L259*$K259,"")</f>
        <v/>
      </c>
      <c r="O259" s="68">
        <f>IFERROR($L259-$M259,"")</f>
        <v/>
      </c>
      <c r="P259" s="68">
        <f>IFERROR($O259-$N259,"")</f>
        <v/>
      </c>
      <c r="Q259" s="69">
        <f>IFERROR($P259/$L259,"")</f>
        <v/>
      </c>
    </row>
    <row r="260" ht="15" customHeight="1" s="47">
      <c r="A260" s="183" t="n">
        <v>46207</v>
      </c>
      <c r="B260" s="182" t="inlineStr">
        <is>
          <t>T03</t>
        </is>
      </c>
      <c r="C260" s="182" t="inlineStr">
        <is>
          <t>EL-016</t>
        </is>
      </c>
      <c r="D260" s="59">
        <f>IFERROR(INDEX(Productos!$B$5:$B$124,MATCH($C260,Productos!$A$5:$A$124,0)),"")</f>
        <v/>
      </c>
      <c r="E260" s="59">
        <f>IFERROR(INDEX(Productos!$D$5:$D$124,MATCH($C260,Productos!$A$5:$A$124,0)),"")</f>
        <v/>
      </c>
      <c r="F260" s="186" t="n">
        <v>1</v>
      </c>
      <c r="G260" s="68">
        <f>IFERROR(INDEX(Productos!$H$5:$H$124,MATCH($C260,Productos!$A$5:$A$124,0)),"")</f>
        <v/>
      </c>
      <c r="H260" s="185" t="n">
        <v>0.07199999999999995</v>
      </c>
      <c r="I260" s="68">
        <f>IFERROR($G260*(1-$H260),"")</f>
        <v/>
      </c>
      <c r="J260" s="182" t="inlineStr">
        <is>
          <t>Crédito propio</t>
        </is>
      </c>
      <c r="K260" s="69">
        <f>IF($J260="",0,IF($J260="Contado",Inicio!$C$26,IF($J260="Tarjeta",Inicio!$C$27,IF($J260="Crédito propio",Inicio!$C$28,0))))</f>
        <v/>
      </c>
      <c r="L260" s="68">
        <f>IFERROR($F260*$I260,"")</f>
        <v/>
      </c>
      <c r="M260" s="68">
        <f>IFERROR($F260*INDEX(Productos!$G$5:$G$124,MATCH($C260,Productos!$A$5:$A$124,0)),"")</f>
        <v/>
      </c>
      <c r="N260" s="68">
        <f>IFERROR($L260*$K260,"")</f>
        <v/>
      </c>
      <c r="O260" s="68">
        <f>IFERROR($L260-$M260,"")</f>
        <v/>
      </c>
      <c r="P260" s="68">
        <f>IFERROR($O260-$N260,"")</f>
        <v/>
      </c>
      <c r="Q260" s="69">
        <f>IFERROR($P260/$L260,"")</f>
        <v/>
      </c>
    </row>
    <row r="261" ht="15" customHeight="1" s="47">
      <c r="A261" s="183" t="n">
        <v>46207</v>
      </c>
      <c r="B261" s="182" t="inlineStr">
        <is>
          <t>T03</t>
        </is>
      </c>
      <c r="C261" s="182" t="inlineStr">
        <is>
          <t>EL-018</t>
        </is>
      </c>
      <c r="D261" s="59">
        <f>IFERROR(INDEX(Productos!$B$5:$B$124,MATCH($C261,Productos!$A$5:$A$124,0)),"")</f>
        <v/>
      </c>
      <c r="E261" s="59">
        <f>IFERROR(INDEX(Productos!$D$5:$D$124,MATCH($C261,Productos!$A$5:$A$124,0)),"")</f>
        <v/>
      </c>
      <c r="F261" s="186" t="n">
        <v>1</v>
      </c>
      <c r="G261" s="68">
        <f>IFERROR(INDEX(Productos!$H$5:$H$124,MATCH($C261,Productos!$A$5:$A$124,0)),"")</f>
        <v/>
      </c>
      <c r="H261" s="185" t="n">
        <v>0</v>
      </c>
      <c r="I261" s="68">
        <f>IFERROR($G261*(1-$H261),"")</f>
        <v/>
      </c>
      <c r="J261" s="182" t="inlineStr">
        <is>
          <t>Crédito propio</t>
        </is>
      </c>
      <c r="K261" s="69">
        <f>IF($J261="",0,IF($J261="Contado",Inicio!$C$26,IF($J261="Tarjeta",Inicio!$C$27,IF($J261="Crédito propio",Inicio!$C$28,0))))</f>
        <v/>
      </c>
      <c r="L261" s="68">
        <f>IFERROR($F261*$I261,"")</f>
        <v/>
      </c>
      <c r="M261" s="68">
        <f>IFERROR($F261*INDEX(Productos!$G$5:$G$124,MATCH($C261,Productos!$A$5:$A$124,0)),"")</f>
        <v/>
      </c>
      <c r="N261" s="68">
        <f>IFERROR($L261*$K261,"")</f>
        <v/>
      </c>
      <c r="O261" s="68">
        <f>IFERROR($L261-$M261,"")</f>
        <v/>
      </c>
      <c r="P261" s="68">
        <f>IFERROR($O261-$N261,"")</f>
        <v/>
      </c>
      <c r="Q261" s="69">
        <f>IFERROR($P261/$L261,"")</f>
        <v/>
      </c>
    </row>
    <row r="262" ht="15" customHeight="1" s="47">
      <c r="A262" s="183" t="n">
        <v>46207</v>
      </c>
      <c r="B262" s="182" t="inlineStr">
        <is>
          <t>T03</t>
        </is>
      </c>
      <c r="C262" s="182" t="inlineStr">
        <is>
          <t>EL-020</t>
        </is>
      </c>
      <c r="D262" s="59">
        <f>IFERROR(INDEX(Productos!$B$5:$B$124,MATCH($C262,Productos!$A$5:$A$124,0)),"")</f>
        <v/>
      </c>
      <c r="E262" s="59">
        <f>IFERROR(INDEX(Productos!$D$5:$D$124,MATCH($C262,Productos!$A$5:$A$124,0)),"")</f>
        <v/>
      </c>
      <c r="F262" s="186" t="n">
        <v>1</v>
      </c>
      <c r="G262" s="68">
        <f>IFERROR(INDEX(Productos!$H$5:$H$124,MATCH($C262,Productos!$A$5:$A$124,0)),"")</f>
        <v/>
      </c>
      <c r="H262" s="185" t="n">
        <v>0.06896551724137934</v>
      </c>
      <c r="I262" s="68">
        <f>IFERROR($G262*(1-$H262),"")</f>
        <v/>
      </c>
      <c r="J262" s="182" t="inlineStr">
        <is>
          <t>Tarjeta</t>
        </is>
      </c>
      <c r="K262" s="69">
        <f>IF($J262="",0,IF($J262="Contado",Inicio!$C$26,IF($J262="Tarjeta",Inicio!$C$27,IF($J262="Crédito propio",Inicio!$C$28,0))))</f>
        <v/>
      </c>
      <c r="L262" s="68">
        <f>IFERROR($F262*$I262,"")</f>
        <v/>
      </c>
      <c r="M262" s="68">
        <f>IFERROR($F262*INDEX(Productos!$G$5:$G$124,MATCH($C262,Productos!$A$5:$A$124,0)),"")</f>
        <v/>
      </c>
      <c r="N262" s="68">
        <f>IFERROR($L262*$K262,"")</f>
        <v/>
      </c>
      <c r="O262" s="68">
        <f>IFERROR($L262-$M262,"")</f>
        <v/>
      </c>
      <c r="P262" s="68">
        <f>IFERROR($O262-$N262,"")</f>
        <v/>
      </c>
      <c r="Q262" s="69">
        <f>IFERROR($P262/$L262,"")</f>
        <v/>
      </c>
    </row>
    <row r="263" ht="15" customHeight="1" s="47">
      <c r="A263" s="183" t="n">
        <v>46207</v>
      </c>
      <c r="B263" s="182" t="inlineStr">
        <is>
          <t>T03</t>
        </is>
      </c>
      <c r="C263" s="182" t="inlineStr">
        <is>
          <t>EL-024</t>
        </is>
      </c>
      <c r="D263" s="59">
        <f>IFERROR(INDEX(Productos!$B$5:$B$124,MATCH($C263,Productos!$A$5:$A$124,0)),"")</f>
        <v/>
      </c>
      <c r="E263" s="59">
        <f>IFERROR(INDEX(Productos!$D$5:$D$124,MATCH($C263,Productos!$A$5:$A$124,0)),"")</f>
        <v/>
      </c>
      <c r="F263" s="186" t="n">
        <v>1</v>
      </c>
      <c r="G263" s="68">
        <f>IFERROR(INDEX(Productos!$H$5:$H$124,MATCH($C263,Productos!$A$5:$A$124,0)),"")</f>
        <v/>
      </c>
      <c r="H263" s="185" t="n">
        <v>0.03</v>
      </c>
      <c r="I263" s="68">
        <f>IFERROR($G263*(1-$H263),"")</f>
        <v/>
      </c>
      <c r="J263" s="182" t="inlineStr">
        <is>
          <t>Contado</t>
        </is>
      </c>
      <c r="K263" s="69">
        <f>IF($J263="",0,IF($J263="Contado",Inicio!$C$26,IF($J263="Tarjeta",Inicio!$C$27,IF($J263="Crédito propio",Inicio!$C$28,0))))</f>
        <v/>
      </c>
      <c r="L263" s="68">
        <f>IFERROR($F263*$I263,"")</f>
        <v/>
      </c>
      <c r="M263" s="68">
        <f>IFERROR($F263*INDEX(Productos!$G$5:$G$124,MATCH($C263,Productos!$A$5:$A$124,0)),"")</f>
        <v/>
      </c>
      <c r="N263" s="68">
        <f>IFERROR($L263*$K263,"")</f>
        <v/>
      </c>
      <c r="O263" s="68">
        <f>IFERROR($L263-$M263,"")</f>
        <v/>
      </c>
      <c r="P263" s="68">
        <f>IFERROR($O263-$N263,"")</f>
        <v/>
      </c>
      <c r="Q263" s="69">
        <f>IFERROR($P263/$L263,"")</f>
        <v/>
      </c>
    </row>
    <row r="264" ht="15" customHeight="1" s="47">
      <c r="A264" s="183" t="n">
        <v>46207</v>
      </c>
      <c r="B264" s="182" t="inlineStr">
        <is>
          <t>T03</t>
        </is>
      </c>
      <c r="C264" s="182" t="inlineStr">
        <is>
          <t>EL-025</t>
        </is>
      </c>
      <c r="D264" s="59">
        <f>IFERROR(INDEX(Productos!$B$5:$B$124,MATCH($C264,Productos!$A$5:$A$124,0)),"")</f>
        <v/>
      </c>
      <c r="E264" s="59">
        <f>IFERROR(INDEX(Productos!$D$5:$D$124,MATCH($C264,Productos!$A$5:$A$124,0)),"")</f>
        <v/>
      </c>
      <c r="F264" s="186" t="n">
        <v>1</v>
      </c>
      <c r="G264" s="68">
        <f>IFERROR(INDEX(Productos!$H$5:$H$124,MATCH($C264,Productos!$A$5:$A$124,0)),"")</f>
        <v/>
      </c>
      <c r="H264" s="185" t="n">
        <v>0</v>
      </c>
      <c r="I264" s="68">
        <f>IFERROR($G264*(1-$H264),"")</f>
        <v/>
      </c>
      <c r="J264" s="182" t="inlineStr">
        <is>
          <t>Tarjeta</t>
        </is>
      </c>
      <c r="K264" s="69">
        <f>IF($J264="",0,IF($J264="Contado",Inicio!$C$26,IF($J264="Tarjeta",Inicio!$C$27,IF($J264="Crédito propio",Inicio!$C$28,0))))</f>
        <v/>
      </c>
      <c r="L264" s="68">
        <f>IFERROR($F264*$I264,"")</f>
        <v/>
      </c>
      <c r="M264" s="68">
        <f>IFERROR($F264*INDEX(Productos!$G$5:$G$124,MATCH($C264,Productos!$A$5:$A$124,0)),"")</f>
        <v/>
      </c>
      <c r="N264" s="68">
        <f>IFERROR($L264*$K264,"")</f>
        <v/>
      </c>
      <c r="O264" s="68">
        <f>IFERROR($L264-$M264,"")</f>
        <v/>
      </c>
      <c r="P264" s="68">
        <f>IFERROR($O264-$N264,"")</f>
        <v/>
      </c>
      <c r="Q264" s="69">
        <f>IFERROR($P264/$L264,"")</f>
        <v/>
      </c>
    </row>
    <row r="265" ht="15" customHeight="1" s="47">
      <c r="A265" s="183" t="n">
        <v>46207</v>
      </c>
      <c r="B265" s="182" t="inlineStr">
        <is>
          <t>T03</t>
        </is>
      </c>
      <c r="C265" s="182" t="inlineStr">
        <is>
          <t>EL-026</t>
        </is>
      </c>
      <c r="D265" s="59">
        <f>IFERROR(INDEX(Productos!$B$5:$B$124,MATCH($C265,Productos!$A$5:$A$124,0)),"")</f>
        <v/>
      </c>
      <c r="E265" s="59">
        <f>IFERROR(INDEX(Productos!$D$5:$D$124,MATCH($C265,Productos!$A$5:$A$124,0)),"")</f>
        <v/>
      </c>
      <c r="F265" s="186" t="n">
        <v>1</v>
      </c>
      <c r="G265" s="68">
        <f>IFERROR(INDEX(Productos!$H$5:$H$124,MATCH($C265,Productos!$A$5:$A$124,0)),"")</f>
        <v/>
      </c>
      <c r="H265" s="185" t="n">
        <v>0.03</v>
      </c>
      <c r="I265" s="68">
        <f>IFERROR($G265*(1-$H265),"")</f>
        <v/>
      </c>
      <c r="J265" s="182" t="inlineStr">
        <is>
          <t>Contado</t>
        </is>
      </c>
      <c r="K265" s="69">
        <f>IF($J265="",0,IF($J265="Contado",Inicio!$C$26,IF($J265="Tarjeta",Inicio!$C$27,IF($J265="Crédito propio",Inicio!$C$28,0))))</f>
        <v/>
      </c>
      <c r="L265" s="68">
        <f>IFERROR($F265*$I265,"")</f>
        <v/>
      </c>
      <c r="M265" s="68">
        <f>IFERROR($F265*INDEX(Productos!$G$5:$G$124,MATCH($C265,Productos!$A$5:$A$124,0)),"")</f>
        <v/>
      </c>
      <c r="N265" s="68">
        <f>IFERROR($L265*$K265,"")</f>
        <v/>
      </c>
      <c r="O265" s="68">
        <f>IFERROR($L265-$M265,"")</f>
        <v/>
      </c>
      <c r="P265" s="68">
        <f>IFERROR($O265-$N265,"")</f>
        <v/>
      </c>
      <c r="Q265" s="69">
        <f>IFERROR($P265/$L265,"")</f>
        <v/>
      </c>
    </row>
    <row r="266" ht="15" customHeight="1" s="47">
      <c r="A266" s="183" t="n">
        <v>46207</v>
      </c>
      <c r="B266" s="182" t="inlineStr">
        <is>
          <t>T03</t>
        </is>
      </c>
      <c r="C266" s="182" t="inlineStr">
        <is>
          <t>EL-031</t>
        </is>
      </c>
      <c r="D266" s="59">
        <f>IFERROR(INDEX(Productos!$B$5:$B$124,MATCH($C266,Productos!$A$5:$A$124,0)),"")</f>
        <v/>
      </c>
      <c r="E266" s="59">
        <f>IFERROR(INDEX(Productos!$D$5:$D$124,MATCH($C266,Productos!$A$5:$A$124,0)),"")</f>
        <v/>
      </c>
      <c r="F266" s="186" t="n">
        <v>1</v>
      </c>
      <c r="G266" s="68">
        <f>IFERROR(INDEX(Productos!$H$5:$H$124,MATCH($C266,Productos!$A$5:$A$124,0)),"")</f>
        <v/>
      </c>
      <c r="H266" s="185" t="n">
        <v>0.06756756756756754</v>
      </c>
      <c r="I266" s="68">
        <f>IFERROR($G266*(1-$H266),"")</f>
        <v/>
      </c>
      <c r="J266" s="182" t="inlineStr">
        <is>
          <t>Tarjeta</t>
        </is>
      </c>
      <c r="K266" s="69">
        <f>IF($J266="",0,IF($J266="Contado",Inicio!$C$26,IF($J266="Tarjeta",Inicio!$C$27,IF($J266="Crédito propio",Inicio!$C$28,0))))</f>
        <v/>
      </c>
      <c r="L266" s="68">
        <f>IFERROR($F266*$I266,"")</f>
        <v/>
      </c>
      <c r="M266" s="68">
        <f>IFERROR($F266*INDEX(Productos!$G$5:$G$124,MATCH($C266,Productos!$A$5:$A$124,0)),"")</f>
        <v/>
      </c>
      <c r="N266" s="68">
        <f>IFERROR($L266*$K266,"")</f>
        <v/>
      </c>
      <c r="O266" s="68">
        <f>IFERROR($L266-$M266,"")</f>
        <v/>
      </c>
      <c r="P266" s="68">
        <f>IFERROR($O266-$N266,"")</f>
        <v/>
      </c>
      <c r="Q266" s="69">
        <f>IFERROR($P266/$L266,"")</f>
        <v/>
      </c>
    </row>
    <row r="267" ht="15" customHeight="1" s="47">
      <c r="A267" s="183" t="n">
        <v>46207</v>
      </c>
      <c r="B267" s="182" t="inlineStr">
        <is>
          <t>T03</t>
        </is>
      </c>
      <c r="C267" s="182" t="inlineStr">
        <is>
          <t>EL-036</t>
        </is>
      </c>
      <c r="D267" s="59">
        <f>IFERROR(INDEX(Productos!$B$5:$B$124,MATCH($C267,Productos!$A$5:$A$124,0)),"")</f>
        <v/>
      </c>
      <c r="E267" s="59">
        <f>IFERROR(INDEX(Productos!$D$5:$D$124,MATCH($C267,Productos!$A$5:$A$124,0)),"")</f>
        <v/>
      </c>
      <c r="F267" s="186" t="n">
        <v>1</v>
      </c>
      <c r="G267" s="68">
        <f>IFERROR(INDEX(Productos!$H$5:$H$124,MATCH($C267,Productos!$A$5:$A$124,0)),"")</f>
        <v/>
      </c>
      <c r="H267" s="185" t="n">
        <v>0</v>
      </c>
      <c r="I267" s="68">
        <f>IFERROR($G267*(1-$H267),"")</f>
        <v/>
      </c>
      <c r="J267" s="182" t="inlineStr">
        <is>
          <t>Tarjeta</t>
        </is>
      </c>
      <c r="K267" s="69">
        <f>IF($J267="",0,IF($J267="Contado",Inicio!$C$26,IF($J267="Tarjeta",Inicio!$C$27,IF($J267="Crédito propio",Inicio!$C$28,0))))</f>
        <v/>
      </c>
      <c r="L267" s="68">
        <f>IFERROR($F267*$I267,"")</f>
        <v/>
      </c>
      <c r="M267" s="68">
        <f>IFERROR($F267*INDEX(Productos!$G$5:$G$124,MATCH($C267,Productos!$A$5:$A$124,0)),"")</f>
        <v/>
      </c>
      <c r="N267" s="68">
        <f>IFERROR($L267*$K267,"")</f>
        <v/>
      </c>
      <c r="O267" s="68">
        <f>IFERROR($L267-$M267,"")</f>
        <v/>
      </c>
      <c r="P267" s="68">
        <f>IFERROR($O267-$N267,"")</f>
        <v/>
      </c>
      <c r="Q267" s="69">
        <f>IFERROR($P267/$L267,"")</f>
        <v/>
      </c>
    </row>
    <row r="268" ht="15" customHeight="1" s="47">
      <c r="A268" s="183" t="n">
        <v>46207</v>
      </c>
      <c r="B268" s="182" t="inlineStr">
        <is>
          <t>T03</t>
        </is>
      </c>
      <c r="C268" s="182" t="inlineStr">
        <is>
          <t>EL-038</t>
        </is>
      </c>
      <c r="D268" s="59">
        <f>IFERROR(INDEX(Productos!$B$5:$B$124,MATCH($C268,Productos!$A$5:$A$124,0)),"")</f>
        <v/>
      </c>
      <c r="E268" s="59">
        <f>IFERROR(INDEX(Productos!$D$5:$D$124,MATCH($C268,Productos!$A$5:$A$124,0)),"")</f>
        <v/>
      </c>
      <c r="F268" s="186" t="n">
        <v>1</v>
      </c>
      <c r="G268" s="68">
        <f>IFERROR(INDEX(Productos!$H$5:$H$124,MATCH($C268,Productos!$A$5:$A$124,0)),"")</f>
        <v/>
      </c>
      <c r="H268" s="185" t="n">
        <v>0.03</v>
      </c>
      <c r="I268" s="68">
        <f>IFERROR($G268*(1-$H268),"")</f>
        <v/>
      </c>
      <c r="J268" s="182" t="inlineStr">
        <is>
          <t>Contado</t>
        </is>
      </c>
      <c r="K268" s="69">
        <f>IF($J268="",0,IF($J268="Contado",Inicio!$C$26,IF($J268="Tarjeta",Inicio!$C$27,IF($J268="Crédito propio",Inicio!$C$28,0))))</f>
        <v/>
      </c>
      <c r="L268" s="68">
        <f>IFERROR($F268*$I268,"")</f>
        <v/>
      </c>
      <c r="M268" s="68">
        <f>IFERROR($F268*INDEX(Productos!$G$5:$G$124,MATCH($C268,Productos!$A$5:$A$124,0)),"")</f>
        <v/>
      </c>
      <c r="N268" s="68">
        <f>IFERROR($L268*$K268,"")</f>
        <v/>
      </c>
      <c r="O268" s="68">
        <f>IFERROR($L268-$M268,"")</f>
        <v/>
      </c>
      <c r="P268" s="68">
        <f>IFERROR($O268-$N268,"")</f>
        <v/>
      </c>
      <c r="Q268" s="69">
        <f>IFERROR($P268/$L268,"")</f>
        <v/>
      </c>
    </row>
    <row r="269" ht="15" customHeight="1" s="47">
      <c r="A269" s="183" t="n">
        <v>46207</v>
      </c>
      <c r="B269" s="182" t="inlineStr">
        <is>
          <t>T03</t>
        </is>
      </c>
      <c r="C269" s="182" t="inlineStr">
        <is>
          <t>EL-044</t>
        </is>
      </c>
      <c r="D269" s="59">
        <f>IFERROR(INDEX(Productos!$B$5:$B$124,MATCH($C269,Productos!$A$5:$A$124,0)),"")</f>
        <v/>
      </c>
      <c r="E269" s="59">
        <f>IFERROR(INDEX(Productos!$D$5:$D$124,MATCH($C269,Productos!$A$5:$A$124,0)),"")</f>
        <v/>
      </c>
      <c r="F269" s="186" t="n">
        <v>1</v>
      </c>
      <c r="G269" s="68">
        <f>IFERROR(INDEX(Productos!$H$5:$H$124,MATCH($C269,Productos!$A$5:$A$124,0)),"")</f>
        <v/>
      </c>
      <c r="H269" s="185" t="n">
        <v>0.05</v>
      </c>
      <c r="I269" s="68">
        <f>IFERROR($G269*(1-$H269),"")</f>
        <v/>
      </c>
      <c r="J269" s="182" t="inlineStr">
        <is>
          <t>Contado</t>
        </is>
      </c>
      <c r="K269" s="69">
        <f>IF($J269="",0,IF($J269="Contado",Inicio!$C$26,IF($J269="Tarjeta",Inicio!$C$27,IF($J269="Crédito propio",Inicio!$C$28,0))))</f>
        <v/>
      </c>
      <c r="L269" s="68">
        <f>IFERROR($F269*$I269,"")</f>
        <v/>
      </c>
      <c r="M269" s="68">
        <f>IFERROR($F269*INDEX(Productos!$G$5:$G$124,MATCH($C269,Productos!$A$5:$A$124,0)),"")</f>
        <v/>
      </c>
      <c r="N269" s="68">
        <f>IFERROR($L269*$K269,"")</f>
        <v/>
      </c>
      <c r="O269" s="68">
        <f>IFERROR($L269-$M269,"")</f>
        <v/>
      </c>
      <c r="P269" s="68">
        <f>IFERROR($O269-$N269,"")</f>
        <v/>
      </c>
      <c r="Q269" s="69">
        <f>IFERROR($P269/$L269,"")</f>
        <v/>
      </c>
    </row>
    <row r="270" ht="15" customHeight="1" s="47">
      <c r="A270" s="183" t="n">
        <v>46207</v>
      </c>
      <c r="B270" s="182" t="inlineStr">
        <is>
          <t>T03</t>
        </is>
      </c>
      <c r="C270" s="182" t="inlineStr">
        <is>
          <t>EL-046</t>
        </is>
      </c>
      <c r="D270" s="59">
        <f>IFERROR(INDEX(Productos!$B$5:$B$124,MATCH($C270,Productos!$A$5:$A$124,0)),"")</f>
        <v/>
      </c>
      <c r="E270" s="59">
        <f>IFERROR(INDEX(Productos!$D$5:$D$124,MATCH($C270,Productos!$A$5:$A$124,0)),"")</f>
        <v/>
      </c>
      <c r="F270" s="186" t="n">
        <v>1</v>
      </c>
      <c r="G270" s="68">
        <f>IFERROR(INDEX(Productos!$H$5:$H$124,MATCH($C270,Productos!$A$5:$A$124,0)),"")</f>
        <v/>
      </c>
      <c r="H270" s="185" t="n">
        <v>0.06122448979591832</v>
      </c>
      <c r="I270" s="68">
        <f>IFERROR($G270*(1-$H270),"")</f>
        <v/>
      </c>
      <c r="J270" s="182" t="inlineStr">
        <is>
          <t>Contado</t>
        </is>
      </c>
      <c r="K270" s="69">
        <f>IF($J270="",0,IF($J270="Contado",Inicio!$C$26,IF($J270="Tarjeta",Inicio!$C$27,IF($J270="Crédito propio",Inicio!$C$28,0))))</f>
        <v/>
      </c>
      <c r="L270" s="68">
        <f>IFERROR($F270*$I270,"")</f>
        <v/>
      </c>
      <c r="M270" s="68">
        <f>IFERROR($F270*INDEX(Productos!$G$5:$G$124,MATCH($C270,Productos!$A$5:$A$124,0)),"")</f>
        <v/>
      </c>
      <c r="N270" s="68">
        <f>IFERROR($L270*$K270,"")</f>
        <v/>
      </c>
      <c r="O270" s="68">
        <f>IFERROR($L270-$M270,"")</f>
        <v/>
      </c>
      <c r="P270" s="68">
        <f>IFERROR($O270-$N270,"")</f>
        <v/>
      </c>
      <c r="Q270" s="69">
        <f>IFERROR($P270/$L270,"")</f>
        <v/>
      </c>
    </row>
    <row r="271" ht="15" customHeight="1" s="47">
      <c r="A271" s="183" t="n">
        <v>46207</v>
      </c>
      <c r="B271" s="182" t="inlineStr">
        <is>
          <t>T03</t>
        </is>
      </c>
      <c r="C271" s="182" t="inlineStr">
        <is>
          <t>EL-048</t>
        </is>
      </c>
      <c r="D271" s="59">
        <f>IFERROR(INDEX(Productos!$B$5:$B$124,MATCH($C271,Productos!$A$5:$A$124,0)),"")</f>
        <v/>
      </c>
      <c r="E271" s="59">
        <f>IFERROR(INDEX(Productos!$D$5:$D$124,MATCH($C271,Productos!$A$5:$A$124,0)),"")</f>
        <v/>
      </c>
      <c r="F271" s="186" t="n">
        <v>1</v>
      </c>
      <c r="G271" s="68">
        <f>IFERROR(INDEX(Productos!$H$5:$H$124,MATCH($C271,Productos!$A$5:$A$124,0)),"")</f>
        <v/>
      </c>
      <c r="H271" s="185" t="n">
        <v>0.05</v>
      </c>
      <c r="I271" s="68">
        <f>IFERROR($G271*(1-$H271),"")</f>
        <v/>
      </c>
      <c r="J271" s="182" t="inlineStr">
        <is>
          <t>Contado</t>
        </is>
      </c>
      <c r="K271" s="69">
        <f>IF($J271="",0,IF($J271="Contado",Inicio!$C$26,IF($J271="Tarjeta",Inicio!$C$27,IF($J271="Crédito propio",Inicio!$C$28,0))))</f>
        <v/>
      </c>
      <c r="L271" s="68">
        <f>IFERROR($F271*$I271,"")</f>
        <v/>
      </c>
      <c r="M271" s="68">
        <f>IFERROR($F271*INDEX(Productos!$G$5:$G$124,MATCH($C271,Productos!$A$5:$A$124,0)),"")</f>
        <v/>
      </c>
      <c r="N271" s="68">
        <f>IFERROR($L271*$K271,"")</f>
        <v/>
      </c>
      <c r="O271" s="68">
        <f>IFERROR($L271-$M271,"")</f>
        <v/>
      </c>
      <c r="P271" s="68">
        <f>IFERROR($O271-$N271,"")</f>
        <v/>
      </c>
      <c r="Q271" s="69">
        <f>IFERROR($P271/$L271,"")</f>
        <v/>
      </c>
    </row>
    <row r="272" ht="15" customHeight="1" s="47">
      <c r="A272" s="183" t="n">
        <v>46207</v>
      </c>
      <c r="B272" s="182" t="inlineStr">
        <is>
          <t>T03</t>
        </is>
      </c>
      <c r="C272" s="182" t="inlineStr">
        <is>
          <t>EL-049</t>
        </is>
      </c>
      <c r="D272" s="59">
        <f>IFERROR(INDEX(Productos!$B$5:$B$124,MATCH($C272,Productos!$A$5:$A$124,0)),"")</f>
        <v/>
      </c>
      <c r="E272" s="59">
        <f>IFERROR(INDEX(Productos!$D$5:$D$124,MATCH($C272,Productos!$A$5:$A$124,0)),"")</f>
        <v/>
      </c>
      <c r="F272" s="186" t="n">
        <v>2</v>
      </c>
      <c r="G272" s="68">
        <f>IFERROR(INDEX(Productos!$H$5:$H$124,MATCH($C272,Productos!$A$5:$A$124,0)),"")</f>
        <v/>
      </c>
      <c r="H272" s="185" t="n">
        <v>0</v>
      </c>
      <c r="I272" s="68">
        <f>IFERROR($G272*(1-$H272),"")</f>
        <v/>
      </c>
      <c r="J272" s="182" t="inlineStr">
        <is>
          <t>Crédito propio</t>
        </is>
      </c>
      <c r="K272" s="69">
        <f>IF($J272="",0,IF($J272="Contado",Inicio!$C$26,IF($J272="Tarjeta",Inicio!$C$27,IF($J272="Crédito propio",Inicio!$C$28,0))))</f>
        <v/>
      </c>
      <c r="L272" s="68">
        <f>IFERROR($F272*$I272,"")</f>
        <v/>
      </c>
      <c r="M272" s="68">
        <f>IFERROR($F272*INDEX(Productos!$G$5:$G$124,MATCH($C272,Productos!$A$5:$A$124,0)),"")</f>
        <v/>
      </c>
      <c r="N272" s="68">
        <f>IFERROR($L272*$K272,"")</f>
        <v/>
      </c>
      <c r="O272" s="68">
        <f>IFERROR($L272-$M272,"")</f>
        <v/>
      </c>
      <c r="P272" s="68">
        <f>IFERROR($O272-$N272,"")</f>
        <v/>
      </c>
      <c r="Q272" s="69">
        <f>IFERROR($P272/$L272,"")</f>
        <v/>
      </c>
    </row>
    <row r="273" ht="15" customHeight="1" s="47">
      <c r="A273" s="183" t="n">
        <v>46207</v>
      </c>
      <c r="B273" s="182" t="inlineStr">
        <is>
          <t>T04</t>
        </is>
      </c>
      <c r="C273" s="182" t="inlineStr">
        <is>
          <t>EL-006</t>
        </is>
      </c>
      <c r="D273" s="59">
        <f>IFERROR(INDEX(Productos!$B$5:$B$124,MATCH($C273,Productos!$A$5:$A$124,0)),"")</f>
        <v/>
      </c>
      <c r="E273" s="59">
        <f>IFERROR(INDEX(Productos!$D$5:$D$124,MATCH($C273,Productos!$A$5:$A$124,0)),"")</f>
        <v/>
      </c>
      <c r="F273" s="186" t="n">
        <v>1</v>
      </c>
      <c r="G273" s="68">
        <f>IFERROR(INDEX(Productos!$H$5:$H$124,MATCH($C273,Productos!$A$5:$A$124,0)),"")</f>
        <v/>
      </c>
      <c r="H273" s="185" t="n">
        <v>0.03</v>
      </c>
      <c r="I273" s="68">
        <f>IFERROR($G273*(1-$H273),"")</f>
        <v/>
      </c>
      <c r="J273" s="182" t="inlineStr">
        <is>
          <t>Contado</t>
        </is>
      </c>
      <c r="K273" s="69">
        <f>IF($J273="",0,IF($J273="Contado",Inicio!$C$26,IF($J273="Tarjeta",Inicio!$C$27,IF($J273="Crédito propio",Inicio!$C$28,0))))</f>
        <v/>
      </c>
      <c r="L273" s="68">
        <f>IFERROR($F273*$I273,"")</f>
        <v/>
      </c>
      <c r="M273" s="68">
        <f>IFERROR($F273*INDEX(Productos!$G$5:$G$124,MATCH($C273,Productos!$A$5:$A$124,0)),"")</f>
        <v/>
      </c>
      <c r="N273" s="68">
        <f>IFERROR($L273*$K273,"")</f>
        <v/>
      </c>
      <c r="O273" s="68">
        <f>IFERROR($L273-$M273,"")</f>
        <v/>
      </c>
      <c r="P273" s="68">
        <f>IFERROR($O273-$N273,"")</f>
        <v/>
      </c>
      <c r="Q273" s="69">
        <f>IFERROR($P273/$L273,"")</f>
        <v/>
      </c>
    </row>
    <row r="274" ht="15" customHeight="1" s="47">
      <c r="A274" s="183" t="n">
        <v>46207</v>
      </c>
      <c r="B274" s="182" t="inlineStr">
        <is>
          <t>T04</t>
        </is>
      </c>
      <c r="C274" s="182" t="inlineStr">
        <is>
          <t>EL-007</t>
        </is>
      </c>
      <c r="D274" s="59">
        <f>IFERROR(INDEX(Productos!$B$5:$B$124,MATCH($C274,Productos!$A$5:$A$124,0)),"")</f>
        <v/>
      </c>
      <c r="E274" s="59">
        <f>IFERROR(INDEX(Productos!$D$5:$D$124,MATCH($C274,Productos!$A$5:$A$124,0)),"")</f>
        <v/>
      </c>
      <c r="F274" s="186" t="n">
        <v>1</v>
      </c>
      <c r="G274" s="68">
        <f>IFERROR(INDEX(Productos!$H$5:$H$124,MATCH($C274,Productos!$A$5:$A$124,0)),"")</f>
        <v/>
      </c>
      <c r="H274" s="185" t="n">
        <v>0.05</v>
      </c>
      <c r="I274" s="68">
        <f>IFERROR($G274*(1-$H274),"")</f>
        <v/>
      </c>
      <c r="J274" s="182" t="inlineStr">
        <is>
          <t>Contado</t>
        </is>
      </c>
      <c r="K274" s="69">
        <f>IF($J274="",0,IF($J274="Contado",Inicio!$C$26,IF($J274="Tarjeta",Inicio!$C$27,IF($J274="Crédito propio",Inicio!$C$28,0))))</f>
        <v/>
      </c>
      <c r="L274" s="68">
        <f>IFERROR($F274*$I274,"")</f>
        <v/>
      </c>
      <c r="M274" s="68">
        <f>IFERROR($F274*INDEX(Productos!$G$5:$G$124,MATCH($C274,Productos!$A$5:$A$124,0)),"")</f>
        <v/>
      </c>
      <c r="N274" s="68">
        <f>IFERROR($L274*$K274,"")</f>
        <v/>
      </c>
      <c r="O274" s="68">
        <f>IFERROR($L274-$M274,"")</f>
        <v/>
      </c>
      <c r="P274" s="68">
        <f>IFERROR($O274-$N274,"")</f>
        <v/>
      </c>
      <c r="Q274" s="69">
        <f>IFERROR($P274/$L274,"")</f>
        <v/>
      </c>
    </row>
    <row r="275" ht="15" customHeight="1" s="47">
      <c r="A275" s="183" t="n">
        <v>46207</v>
      </c>
      <c r="B275" s="182" t="inlineStr">
        <is>
          <t>T04</t>
        </is>
      </c>
      <c r="C275" s="182" t="inlineStr">
        <is>
          <t>EL-013</t>
        </is>
      </c>
      <c r="D275" s="59">
        <f>IFERROR(INDEX(Productos!$B$5:$B$124,MATCH($C275,Productos!$A$5:$A$124,0)),"")</f>
        <v/>
      </c>
      <c r="E275" s="59">
        <f>IFERROR(INDEX(Productos!$D$5:$D$124,MATCH($C275,Productos!$A$5:$A$124,0)),"")</f>
        <v/>
      </c>
      <c r="F275" s="186" t="n">
        <v>1</v>
      </c>
      <c r="G275" s="68">
        <f>IFERROR(INDEX(Productos!$H$5:$H$124,MATCH($C275,Productos!$A$5:$A$124,0)),"")</f>
        <v/>
      </c>
      <c r="H275" s="185" t="n">
        <v>0.05</v>
      </c>
      <c r="I275" s="68">
        <f>IFERROR($G275*(1-$H275),"")</f>
        <v/>
      </c>
      <c r="J275" s="182" t="inlineStr">
        <is>
          <t>Tarjeta</t>
        </is>
      </c>
      <c r="K275" s="69">
        <f>IF($J275="",0,IF($J275="Contado",Inicio!$C$26,IF($J275="Tarjeta",Inicio!$C$27,IF($J275="Crédito propio",Inicio!$C$28,0))))</f>
        <v/>
      </c>
      <c r="L275" s="68">
        <f>IFERROR($F275*$I275,"")</f>
        <v/>
      </c>
      <c r="M275" s="68">
        <f>IFERROR($F275*INDEX(Productos!$G$5:$G$124,MATCH($C275,Productos!$A$5:$A$124,0)),"")</f>
        <v/>
      </c>
      <c r="N275" s="68">
        <f>IFERROR($L275*$K275,"")</f>
        <v/>
      </c>
      <c r="O275" s="68">
        <f>IFERROR($L275-$M275,"")</f>
        <v/>
      </c>
      <c r="P275" s="68">
        <f>IFERROR($O275-$N275,"")</f>
        <v/>
      </c>
      <c r="Q275" s="69">
        <f>IFERROR($P275/$L275,"")</f>
        <v/>
      </c>
    </row>
    <row r="276" ht="15" customHeight="1" s="47">
      <c r="A276" s="183" t="n">
        <v>46207</v>
      </c>
      <c r="B276" s="182" t="inlineStr">
        <is>
          <t>T04</t>
        </is>
      </c>
      <c r="C276" s="182" t="inlineStr">
        <is>
          <t>EL-018</t>
        </is>
      </c>
      <c r="D276" s="59">
        <f>IFERROR(INDEX(Productos!$B$5:$B$124,MATCH($C276,Productos!$A$5:$A$124,0)),"")</f>
        <v/>
      </c>
      <c r="E276" s="59">
        <f>IFERROR(INDEX(Productos!$D$5:$D$124,MATCH($C276,Productos!$A$5:$A$124,0)),"")</f>
        <v/>
      </c>
      <c r="F276" s="186" t="n">
        <v>1</v>
      </c>
      <c r="G276" s="68">
        <f>IFERROR(INDEX(Productos!$H$5:$H$124,MATCH($C276,Productos!$A$5:$A$124,0)),"")</f>
        <v/>
      </c>
      <c r="H276" s="185" t="n">
        <v>0.03</v>
      </c>
      <c r="I276" s="68">
        <f>IFERROR($G276*(1-$H276),"")</f>
        <v/>
      </c>
      <c r="J276" s="182" t="inlineStr">
        <is>
          <t>Tarjeta</t>
        </is>
      </c>
      <c r="K276" s="69">
        <f>IF($J276="",0,IF($J276="Contado",Inicio!$C$26,IF($J276="Tarjeta",Inicio!$C$27,IF($J276="Crédito propio",Inicio!$C$28,0))))</f>
        <v/>
      </c>
      <c r="L276" s="68">
        <f>IFERROR($F276*$I276,"")</f>
        <v/>
      </c>
      <c r="M276" s="68">
        <f>IFERROR($F276*INDEX(Productos!$G$5:$G$124,MATCH($C276,Productos!$A$5:$A$124,0)),"")</f>
        <v/>
      </c>
      <c r="N276" s="68">
        <f>IFERROR($L276*$K276,"")</f>
        <v/>
      </c>
      <c r="O276" s="68">
        <f>IFERROR($L276-$M276,"")</f>
        <v/>
      </c>
      <c r="P276" s="68">
        <f>IFERROR($O276-$N276,"")</f>
        <v/>
      </c>
      <c r="Q276" s="69">
        <f>IFERROR($P276/$L276,"")</f>
        <v/>
      </c>
    </row>
    <row r="277" ht="15" customHeight="1" s="47">
      <c r="A277" s="183" t="n">
        <v>46207</v>
      </c>
      <c r="B277" s="182" t="inlineStr">
        <is>
          <t>T04</t>
        </is>
      </c>
      <c r="C277" s="182" t="inlineStr">
        <is>
          <t>EL-024</t>
        </is>
      </c>
      <c r="D277" s="59">
        <f>IFERROR(INDEX(Productos!$B$5:$B$124,MATCH($C277,Productos!$A$5:$A$124,0)),"")</f>
        <v/>
      </c>
      <c r="E277" s="59">
        <f>IFERROR(INDEX(Productos!$D$5:$D$124,MATCH($C277,Productos!$A$5:$A$124,0)),"")</f>
        <v/>
      </c>
      <c r="F277" s="186" t="n">
        <v>1</v>
      </c>
      <c r="G277" s="68">
        <f>IFERROR(INDEX(Productos!$H$5:$H$124,MATCH($C277,Productos!$A$5:$A$124,0)),"")</f>
        <v/>
      </c>
      <c r="H277" s="185" t="n">
        <v>0</v>
      </c>
      <c r="I277" s="68">
        <f>IFERROR($G277*(1-$H277),"")</f>
        <v/>
      </c>
      <c r="J277" s="182" t="inlineStr">
        <is>
          <t>Crédito propio</t>
        </is>
      </c>
      <c r="K277" s="69">
        <f>IF($J277="",0,IF($J277="Contado",Inicio!$C$26,IF($J277="Tarjeta",Inicio!$C$27,IF($J277="Crédito propio",Inicio!$C$28,0))))</f>
        <v/>
      </c>
      <c r="L277" s="68">
        <f>IFERROR($F277*$I277,"")</f>
        <v/>
      </c>
      <c r="M277" s="68">
        <f>IFERROR($F277*INDEX(Productos!$G$5:$G$124,MATCH($C277,Productos!$A$5:$A$124,0)),"")</f>
        <v/>
      </c>
      <c r="N277" s="68">
        <f>IFERROR($L277*$K277,"")</f>
        <v/>
      </c>
      <c r="O277" s="68">
        <f>IFERROR($L277-$M277,"")</f>
        <v/>
      </c>
      <c r="P277" s="68">
        <f>IFERROR($O277-$N277,"")</f>
        <v/>
      </c>
      <c r="Q277" s="69">
        <f>IFERROR($P277/$L277,"")</f>
        <v/>
      </c>
    </row>
    <row r="278" ht="15" customHeight="1" s="47">
      <c r="A278" s="183" t="n">
        <v>46207</v>
      </c>
      <c r="B278" s="182" t="inlineStr">
        <is>
          <t>T04</t>
        </is>
      </c>
      <c r="C278" s="182" t="inlineStr">
        <is>
          <t>EL-025</t>
        </is>
      </c>
      <c r="D278" s="59">
        <f>IFERROR(INDEX(Productos!$B$5:$B$124,MATCH($C278,Productos!$A$5:$A$124,0)),"")</f>
        <v/>
      </c>
      <c r="E278" s="59">
        <f>IFERROR(INDEX(Productos!$D$5:$D$124,MATCH($C278,Productos!$A$5:$A$124,0)),"")</f>
        <v/>
      </c>
      <c r="F278" s="186" t="n">
        <v>1</v>
      </c>
      <c r="G278" s="68">
        <f>IFERROR(INDEX(Productos!$H$5:$H$124,MATCH($C278,Productos!$A$5:$A$124,0)),"")</f>
        <v/>
      </c>
      <c r="H278" s="185" t="n">
        <v>0</v>
      </c>
      <c r="I278" s="68">
        <f>IFERROR($G278*(1-$H278),"")</f>
        <v/>
      </c>
      <c r="J278" s="182" t="inlineStr">
        <is>
          <t>Tarjeta</t>
        </is>
      </c>
      <c r="K278" s="69">
        <f>IF($J278="",0,IF($J278="Contado",Inicio!$C$26,IF($J278="Tarjeta",Inicio!$C$27,IF($J278="Crédito propio",Inicio!$C$28,0))))</f>
        <v/>
      </c>
      <c r="L278" s="68">
        <f>IFERROR($F278*$I278,"")</f>
        <v/>
      </c>
      <c r="M278" s="68">
        <f>IFERROR($F278*INDEX(Productos!$G$5:$G$124,MATCH($C278,Productos!$A$5:$A$124,0)),"")</f>
        <v/>
      </c>
      <c r="N278" s="68">
        <f>IFERROR($L278*$K278,"")</f>
        <v/>
      </c>
      <c r="O278" s="68">
        <f>IFERROR($L278-$M278,"")</f>
        <v/>
      </c>
      <c r="P278" s="68">
        <f>IFERROR($O278-$N278,"")</f>
        <v/>
      </c>
      <c r="Q278" s="69">
        <f>IFERROR($P278/$L278,"")</f>
        <v/>
      </c>
    </row>
    <row r="279" ht="15" customHeight="1" s="47">
      <c r="A279" s="183" t="n">
        <v>46207</v>
      </c>
      <c r="B279" s="182" t="inlineStr">
        <is>
          <t>T04</t>
        </is>
      </c>
      <c r="C279" s="182" t="inlineStr">
        <is>
          <t>EL-026</t>
        </is>
      </c>
      <c r="D279" s="59">
        <f>IFERROR(INDEX(Productos!$B$5:$B$124,MATCH($C279,Productos!$A$5:$A$124,0)),"")</f>
        <v/>
      </c>
      <c r="E279" s="59">
        <f>IFERROR(INDEX(Productos!$D$5:$D$124,MATCH($C279,Productos!$A$5:$A$124,0)),"")</f>
        <v/>
      </c>
      <c r="F279" s="186" t="n">
        <v>1</v>
      </c>
      <c r="G279" s="68">
        <f>IFERROR(INDEX(Productos!$H$5:$H$124,MATCH($C279,Productos!$A$5:$A$124,0)),"")</f>
        <v/>
      </c>
      <c r="H279" s="185" t="n">
        <v>0</v>
      </c>
      <c r="I279" s="68">
        <f>IFERROR($G279*(1-$H279),"")</f>
        <v/>
      </c>
      <c r="J279" s="182" t="inlineStr">
        <is>
          <t>Tarjeta</t>
        </is>
      </c>
      <c r="K279" s="69">
        <f>IF($J279="",0,IF($J279="Contado",Inicio!$C$26,IF($J279="Tarjeta",Inicio!$C$27,IF($J279="Crédito propio",Inicio!$C$28,0))))</f>
        <v/>
      </c>
      <c r="L279" s="68">
        <f>IFERROR($F279*$I279,"")</f>
        <v/>
      </c>
      <c r="M279" s="68">
        <f>IFERROR($F279*INDEX(Productos!$G$5:$G$124,MATCH($C279,Productos!$A$5:$A$124,0)),"")</f>
        <v/>
      </c>
      <c r="N279" s="68">
        <f>IFERROR($L279*$K279,"")</f>
        <v/>
      </c>
      <c r="O279" s="68">
        <f>IFERROR($L279-$M279,"")</f>
        <v/>
      </c>
      <c r="P279" s="68">
        <f>IFERROR($O279-$N279,"")</f>
        <v/>
      </c>
      <c r="Q279" s="69">
        <f>IFERROR($P279/$L279,"")</f>
        <v/>
      </c>
    </row>
    <row r="280" ht="15" customHeight="1" s="47">
      <c r="A280" s="183" t="n">
        <v>46207</v>
      </c>
      <c r="B280" s="182" t="inlineStr">
        <is>
          <t>T04</t>
        </is>
      </c>
      <c r="C280" s="182" t="inlineStr">
        <is>
          <t>EL-028</t>
        </is>
      </c>
      <c r="D280" s="59">
        <f>IFERROR(INDEX(Productos!$B$5:$B$124,MATCH($C280,Productos!$A$5:$A$124,0)),"")</f>
        <v/>
      </c>
      <c r="E280" s="59">
        <f>IFERROR(INDEX(Productos!$D$5:$D$124,MATCH($C280,Productos!$A$5:$A$124,0)),"")</f>
        <v/>
      </c>
      <c r="F280" s="186" t="n">
        <v>1</v>
      </c>
      <c r="G280" s="68">
        <f>IFERROR(INDEX(Productos!$H$5:$H$124,MATCH($C280,Productos!$A$5:$A$124,0)),"")</f>
        <v/>
      </c>
      <c r="H280" s="185" t="n">
        <v>0</v>
      </c>
      <c r="I280" s="68">
        <f>IFERROR($G280*(1-$H280),"")</f>
        <v/>
      </c>
      <c r="J280" s="182" t="inlineStr">
        <is>
          <t>Tarjeta</t>
        </is>
      </c>
      <c r="K280" s="69">
        <f>IF($J280="",0,IF($J280="Contado",Inicio!$C$26,IF($J280="Tarjeta",Inicio!$C$27,IF($J280="Crédito propio",Inicio!$C$28,0))))</f>
        <v/>
      </c>
      <c r="L280" s="68">
        <f>IFERROR($F280*$I280,"")</f>
        <v/>
      </c>
      <c r="M280" s="68">
        <f>IFERROR($F280*INDEX(Productos!$G$5:$G$124,MATCH($C280,Productos!$A$5:$A$124,0)),"")</f>
        <v/>
      </c>
      <c r="N280" s="68">
        <f>IFERROR($L280*$K280,"")</f>
        <v/>
      </c>
      <c r="O280" s="68">
        <f>IFERROR($L280-$M280,"")</f>
        <v/>
      </c>
      <c r="P280" s="68">
        <f>IFERROR($O280-$N280,"")</f>
        <v/>
      </c>
      <c r="Q280" s="69">
        <f>IFERROR($P280/$L280,"")</f>
        <v/>
      </c>
    </row>
    <row r="281" ht="15" customHeight="1" s="47">
      <c r="A281" s="183" t="n">
        <v>46207</v>
      </c>
      <c r="B281" s="182" t="inlineStr">
        <is>
          <t>T04</t>
        </is>
      </c>
      <c r="C281" s="182" t="inlineStr">
        <is>
          <t>EL-038</t>
        </is>
      </c>
      <c r="D281" s="59">
        <f>IFERROR(INDEX(Productos!$B$5:$B$124,MATCH($C281,Productos!$A$5:$A$124,0)),"")</f>
        <v/>
      </c>
      <c r="E281" s="59">
        <f>IFERROR(INDEX(Productos!$D$5:$D$124,MATCH($C281,Productos!$A$5:$A$124,0)),"")</f>
        <v/>
      </c>
      <c r="F281" s="186" t="n">
        <v>1</v>
      </c>
      <c r="G281" s="68">
        <f>IFERROR(INDEX(Productos!$H$5:$H$124,MATCH($C281,Productos!$A$5:$A$124,0)),"")</f>
        <v/>
      </c>
      <c r="H281" s="185" t="n">
        <v>0</v>
      </c>
      <c r="I281" s="68">
        <f>IFERROR($G281*(1-$H281),"")</f>
        <v/>
      </c>
      <c r="J281" s="182" t="inlineStr">
        <is>
          <t>Tarjeta</t>
        </is>
      </c>
      <c r="K281" s="69">
        <f>IF($J281="",0,IF($J281="Contado",Inicio!$C$26,IF($J281="Tarjeta",Inicio!$C$27,IF($J281="Crédito propio",Inicio!$C$28,0))))</f>
        <v/>
      </c>
      <c r="L281" s="68">
        <f>IFERROR($F281*$I281,"")</f>
        <v/>
      </c>
      <c r="M281" s="68">
        <f>IFERROR($F281*INDEX(Productos!$G$5:$G$124,MATCH($C281,Productos!$A$5:$A$124,0)),"")</f>
        <v/>
      </c>
      <c r="N281" s="68">
        <f>IFERROR($L281*$K281,"")</f>
        <v/>
      </c>
      <c r="O281" s="68">
        <f>IFERROR($L281-$M281,"")</f>
        <v/>
      </c>
      <c r="P281" s="68">
        <f>IFERROR($O281-$N281,"")</f>
        <v/>
      </c>
      <c r="Q281" s="69">
        <f>IFERROR($P281/$L281,"")</f>
        <v/>
      </c>
    </row>
    <row r="282" ht="15" customHeight="1" s="47">
      <c r="A282" s="183" t="n">
        <v>46207</v>
      </c>
      <c r="B282" s="182" t="inlineStr">
        <is>
          <t>T04</t>
        </is>
      </c>
      <c r="C282" s="182" t="inlineStr">
        <is>
          <t>EL-039</t>
        </is>
      </c>
      <c r="D282" s="59">
        <f>IFERROR(INDEX(Productos!$B$5:$B$124,MATCH($C282,Productos!$A$5:$A$124,0)),"")</f>
        <v/>
      </c>
      <c r="E282" s="59">
        <f>IFERROR(INDEX(Productos!$D$5:$D$124,MATCH($C282,Productos!$A$5:$A$124,0)),"")</f>
        <v/>
      </c>
      <c r="F282" s="186" t="n">
        <v>1</v>
      </c>
      <c r="G282" s="68">
        <f>IFERROR(INDEX(Productos!$H$5:$H$124,MATCH($C282,Productos!$A$5:$A$124,0)),"")</f>
        <v/>
      </c>
      <c r="H282" s="185" t="n">
        <v>0</v>
      </c>
      <c r="I282" s="68">
        <f>IFERROR($G282*(1-$H282),"")</f>
        <v/>
      </c>
      <c r="J282" s="182" t="inlineStr">
        <is>
          <t>Crédito propio</t>
        </is>
      </c>
      <c r="K282" s="69">
        <f>IF($J282="",0,IF($J282="Contado",Inicio!$C$26,IF($J282="Tarjeta",Inicio!$C$27,IF($J282="Crédito propio",Inicio!$C$28,0))))</f>
        <v/>
      </c>
      <c r="L282" s="68">
        <f>IFERROR($F282*$I282,"")</f>
        <v/>
      </c>
      <c r="M282" s="68">
        <f>IFERROR($F282*INDEX(Productos!$G$5:$G$124,MATCH($C282,Productos!$A$5:$A$124,0)),"")</f>
        <v/>
      </c>
      <c r="N282" s="68">
        <f>IFERROR($L282*$K282,"")</f>
        <v/>
      </c>
      <c r="O282" s="68">
        <f>IFERROR($L282-$M282,"")</f>
        <v/>
      </c>
      <c r="P282" s="68">
        <f>IFERROR($O282-$N282,"")</f>
        <v/>
      </c>
      <c r="Q282" s="69">
        <f>IFERROR($P282/$L282,"")</f>
        <v/>
      </c>
    </row>
    <row r="283" ht="15" customHeight="1" s="47">
      <c r="A283" s="183" t="n">
        <v>46207</v>
      </c>
      <c r="B283" s="182" t="inlineStr">
        <is>
          <t>T04</t>
        </is>
      </c>
      <c r="C283" s="182" t="inlineStr">
        <is>
          <t>EL-046</t>
        </is>
      </c>
      <c r="D283" s="59">
        <f>IFERROR(INDEX(Productos!$B$5:$B$124,MATCH($C283,Productos!$A$5:$A$124,0)),"")</f>
        <v/>
      </c>
      <c r="E283" s="59">
        <f>IFERROR(INDEX(Productos!$D$5:$D$124,MATCH($C283,Productos!$A$5:$A$124,0)),"")</f>
        <v/>
      </c>
      <c r="F283" s="186" t="n">
        <v>1</v>
      </c>
      <c r="G283" s="68">
        <f>IFERROR(INDEX(Productos!$H$5:$H$124,MATCH($C283,Productos!$A$5:$A$124,0)),"")</f>
        <v/>
      </c>
      <c r="H283" s="185" t="n">
        <v>0.061</v>
      </c>
      <c r="I283" s="68">
        <f>IFERROR($G283*(1-$H283),"")</f>
        <v/>
      </c>
      <c r="J283" s="182" t="inlineStr">
        <is>
          <t>Tarjeta</t>
        </is>
      </c>
      <c r="K283" s="69">
        <f>IF($J283="",0,IF($J283="Contado",Inicio!$C$26,IF($J283="Tarjeta",Inicio!$C$27,IF($J283="Crédito propio",Inicio!$C$28,0))))</f>
        <v/>
      </c>
      <c r="L283" s="68">
        <f>IFERROR($F283*$I283,"")</f>
        <v/>
      </c>
      <c r="M283" s="68">
        <f>IFERROR($F283*INDEX(Productos!$G$5:$G$124,MATCH($C283,Productos!$A$5:$A$124,0)),"")</f>
        <v/>
      </c>
      <c r="N283" s="68">
        <f>IFERROR($L283*$K283,"")</f>
        <v/>
      </c>
      <c r="O283" s="68">
        <f>IFERROR($L283-$M283,"")</f>
        <v/>
      </c>
      <c r="P283" s="68">
        <f>IFERROR($O283-$N283,"")</f>
        <v/>
      </c>
      <c r="Q283" s="69">
        <f>IFERROR($P283/$L283,"")</f>
        <v/>
      </c>
    </row>
    <row r="284" ht="15" customHeight="1" s="47">
      <c r="A284" s="183" t="n">
        <v>46207</v>
      </c>
      <c r="B284" s="182" t="inlineStr">
        <is>
          <t>T04</t>
        </is>
      </c>
      <c r="C284" s="182" t="inlineStr">
        <is>
          <t>EL-049</t>
        </is>
      </c>
      <c r="D284" s="59">
        <f>IFERROR(INDEX(Productos!$B$5:$B$124,MATCH($C284,Productos!$A$5:$A$124,0)),"")</f>
        <v/>
      </c>
      <c r="E284" s="59">
        <f>IFERROR(INDEX(Productos!$D$5:$D$124,MATCH($C284,Productos!$A$5:$A$124,0)),"")</f>
        <v/>
      </c>
      <c r="F284" s="186" t="n">
        <v>1</v>
      </c>
      <c r="G284" s="68">
        <f>IFERROR(INDEX(Productos!$H$5:$H$124,MATCH($C284,Productos!$A$5:$A$124,0)),"")</f>
        <v/>
      </c>
      <c r="H284" s="185" t="n">
        <v>0.03</v>
      </c>
      <c r="I284" s="68">
        <f>IFERROR($G284*(1-$H284),"")</f>
        <v/>
      </c>
      <c r="J284" s="182" t="inlineStr">
        <is>
          <t>Crédito propio</t>
        </is>
      </c>
      <c r="K284" s="69">
        <f>IF($J284="",0,IF($J284="Contado",Inicio!$C$26,IF($J284="Tarjeta",Inicio!$C$27,IF($J284="Crédito propio",Inicio!$C$28,0))))</f>
        <v/>
      </c>
      <c r="L284" s="68">
        <f>IFERROR($F284*$I284,"")</f>
        <v/>
      </c>
      <c r="M284" s="68">
        <f>IFERROR($F284*INDEX(Productos!$G$5:$G$124,MATCH($C284,Productos!$A$5:$A$124,0)),"")</f>
        <v/>
      </c>
      <c r="N284" s="68">
        <f>IFERROR($L284*$K284,"")</f>
        <v/>
      </c>
      <c r="O284" s="68">
        <f>IFERROR($L284-$M284,"")</f>
        <v/>
      </c>
      <c r="P284" s="68">
        <f>IFERROR($O284-$N284,"")</f>
        <v/>
      </c>
      <c r="Q284" s="69">
        <f>IFERROR($P284/$L284,"")</f>
        <v/>
      </c>
    </row>
    <row r="285" ht="15" customHeight="1" s="47">
      <c r="A285" s="183" t="n">
        <v>46207</v>
      </c>
      <c r="B285" s="182" t="inlineStr">
        <is>
          <t>T05</t>
        </is>
      </c>
      <c r="C285" s="182" t="inlineStr">
        <is>
          <t>EL-001</t>
        </is>
      </c>
      <c r="D285" s="59">
        <f>IFERROR(INDEX(Productos!$B$5:$B$124,MATCH($C285,Productos!$A$5:$A$124,0)),"")</f>
        <v/>
      </c>
      <c r="E285" s="59">
        <f>IFERROR(INDEX(Productos!$D$5:$D$124,MATCH($C285,Productos!$A$5:$A$124,0)),"")</f>
        <v/>
      </c>
      <c r="F285" s="186" t="n">
        <v>1</v>
      </c>
      <c r="G285" s="68">
        <f>IFERROR(INDEX(Productos!$H$5:$H$124,MATCH($C285,Productos!$A$5:$A$124,0)),"")</f>
        <v/>
      </c>
      <c r="H285" s="185" t="n">
        <v>0.05</v>
      </c>
      <c r="I285" s="68">
        <f>IFERROR($G285*(1-$H285),"")</f>
        <v/>
      </c>
      <c r="J285" s="182" t="inlineStr">
        <is>
          <t>Tarjeta</t>
        </is>
      </c>
      <c r="K285" s="69">
        <f>IF($J285="",0,IF($J285="Contado",Inicio!$C$26,IF($J285="Tarjeta",Inicio!$C$27,IF($J285="Crédito propio",Inicio!$C$28,0))))</f>
        <v/>
      </c>
      <c r="L285" s="68">
        <f>IFERROR($F285*$I285,"")</f>
        <v/>
      </c>
      <c r="M285" s="68">
        <f>IFERROR($F285*INDEX(Productos!$G$5:$G$124,MATCH($C285,Productos!$A$5:$A$124,0)),"")</f>
        <v/>
      </c>
      <c r="N285" s="68">
        <f>IFERROR($L285*$K285,"")</f>
        <v/>
      </c>
      <c r="O285" s="68">
        <f>IFERROR($L285-$M285,"")</f>
        <v/>
      </c>
      <c r="P285" s="68">
        <f>IFERROR($O285-$N285,"")</f>
        <v/>
      </c>
      <c r="Q285" s="69">
        <f>IFERROR($P285/$L285,"")</f>
        <v/>
      </c>
    </row>
    <row r="286" ht="15" customHeight="1" s="47">
      <c r="A286" s="183" t="n">
        <v>46207</v>
      </c>
      <c r="B286" s="182" t="inlineStr">
        <is>
          <t>T05</t>
        </is>
      </c>
      <c r="C286" s="182" t="inlineStr">
        <is>
          <t>EL-003</t>
        </is>
      </c>
      <c r="D286" s="59">
        <f>IFERROR(INDEX(Productos!$B$5:$B$124,MATCH($C286,Productos!$A$5:$A$124,0)),"")</f>
        <v/>
      </c>
      <c r="E286" s="59">
        <f>IFERROR(INDEX(Productos!$D$5:$D$124,MATCH($C286,Productos!$A$5:$A$124,0)),"")</f>
        <v/>
      </c>
      <c r="F286" s="186" t="n">
        <v>1</v>
      </c>
      <c r="G286" s="68">
        <f>IFERROR(INDEX(Productos!$H$5:$H$124,MATCH($C286,Productos!$A$5:$A$124,0)),"")</f>
        <v/>
      </c>
      <c r="H286" s="185" t="n">
        <v>0.05</v>
      </c>
      <c r="I286" s="68">
        <f>IFERROR($G286*(1-$H286),"")</f>
        <v/>
      </c>
      <c r="J286" s="182" t="inlineStr">
        <is>
          <t>Crédito propio</t>
        </is>
      </c>
      <c r="K286" s="69">
        <f>IF($J286="",0,IF($J286="Contado",Inicio!$C$26,IF($J286="Tarjeta",Inicio!$C$27,IF($J286="Crédito propio",Inicio!$C$28,0))))</f>
        <v/>
      </c>
      <c r="L286" s="68">
        <f>IFERROR($F286*$I286,"")</f>
        <v/>
      </c>
      <c r="M286" s="68">
        <f>IFERROR($F286*INDEX(Productos!$G$5:$G$124,MATCH($C286,Productos!$A$5:$A$124,0)),"")</f>
        <v/>
      </c>
      <c r="N286" s="68">
        <f>IFERROR($L286*$K286,"")</f>
        <v/>
      </c>
      <c r="O286" s="68">
        <f>IFERROR($L286-$M286,"")</f>
        <v/>
      </c>
      <c r="P286" s="68">
        <f>IFERROR($O286-$N286,"")</f>
        <v/>
      </c>
      <c r="Q286" s="69">
        <f>IFERROR($P286/$L286,"")</f>
        <v/>
      </c>
    </row>
    <row r="287" ht="15" customHeight="1" s="47">
      <c r="A287" s="183" t="n">
        <v>46207</v>
      </c>
      <c r="B287" s="182" t="inlineStr">
        <is>
          <t>T05</t>
        </is>
      </c>
      <c r="C287" s="182" t="inlineStr">
        <is>
          <t>EL-006</t>
        </is>
      </c>
      <c r="D287" s="59">
        <f>IFERROR(INDEX(Productos!$B$5:$B$124,MATCH($C287,Productos!$A$5:$A$124,0)),"")</f>
        <v/>
      </c>
      <c r="E287" s="59">
        <f>IFERROR(INDEX(Productos!$D$5:$D$124,MATCH($C287,Productos!$A$5:$A$124,0)),"")</f>
        <v/>
      </c>
      <c r="F287" s="186" t="n">
        <v>1</v>
      </c>
      <c r="G287" s="68">
        <f>IFERROR(INDEX(Productos!$H$5:$H$124,MATCH($C287,Productos!$A$5:$A$124,0)),"")</f>
        <v/>
      </c>
      <c r="H287" s="185" t="n">
        <v>0.05</v>
      </c>
      <c r="I287" s="68">
        <f>IFERROR($G287*(1-$H287),"")</f>
        <v/>
      </c>
      <c r="J287" s="182" t="inlineStr">
        <is>
          <t>Contado</t>
        </is>
      </c>
      <c r="K287" s="69">
        <f>IF($J287="",0,IF($J287="Contado",Inicio!$C$26,IF($J287="Tarjeta",Inicio!$C$27,IF($J287="Crédito propio",Inicio!$C$28,0))))</f>
        <v/>
      </c>
      <c r="L287" s="68">
        <f>IFERROR($F287*$I287,"")</f>
        <v/>
      </c>
      <c r="M287" s="68">
        <f>IFERROR($F287*INDEX(Productos!$G$5:$G$124,MATCH($C287,Productos!$A$5:$A$124,0)),"")</f>
        <v/>
      </c>
      <c r="N287" s="68">
        <f>IFERROR($L287*$K287,"")</f>
        <v/>
      </c>
      <c r="O287" s="68">
        <f>IFERROR($L287-$M287,"")</f>
        <v/>
      </c>
      <c r="P287" s="68">
        <f>IFERROR($O287-$N287,"")</f>
        <v/>
      </c>
      <c r="Q287" s="69">
        <f>IFERROR($P287/$L287,"")</f>
        <v/>
      </c>
    </row>
    <row r="288" ht="15" customHeight="1" s="47">
      <c r="A288" s="183" t="n">
        <v>46207</v>
      </c>
      <c r="B288" s="182" t="inlineStr">
        <is>
          <t>T05</t>
        </is>
      </c>
      <c r="C288" s="182" t="inlineStr">
        <is>
          <t>EL-007</t>
        </is>
      </c>
      <c r="D288" s="59">
        <f>IFERROR(INDEX(Productos!$B$5:$B$124,MATCH($C288,Productos!$A$5:$A$124,0)),"")</f>
        <v/>
      </c>
      <c r="E288" s="59">
        <f>IFERROR(INDEX(Productos!$D$5:$D$124,MATCH($C288,Productos!$A$5:$A$124,0)),"")</f>
        <v/>
      </c>
      <c r="F288" s="186" t="n">
        <v>1</v>
      </c>
      <c r="G288" s="68">
        <f>IFERROR(INDEX(Productos!$H$5:$H$124,MATCH($C288,Productos!$A$5:$A$124,0)),"")</f>
        <v/>
      </c>
      <c r="H288" s="185" t="n">
        <v>0.03</v>
      </c>
      <c r="I288" s="68">
        <f>IFERROR($G288*(1-$H288),"")</f>
        <v/>
      </c>
      <c r="J288" s="182" t="inlineStr">
        <is>
          <t>Contado</t>
        </is>
      </c>
      <c r="K288" s="69">
        <f>IF($J288="",0,IF($J288="Contado",Inicio!$C$26,IF($J288="Tarjeta",Inicio!$C$27,IF($J288="Crédito propio",Inicio!$C$28,0))))</f>
        <v/>
      </c>
      <c r="L288" s="68">
        <f>IFERROR($F288*$I288,"")</f>
        <v/>
      </c>
      <c r="M288" s="68">
        <f>IFERROR($F288*INDEX(Productos!$G$5:$G$124,MATCH($C288,Productos!$A$5:$A$124,0)),"")</f>
        <v/>
      </c>
      <c r="N288" s="68">
        <f>IFERROR($L288*$K288,"")</f>
        <v/>
      </c>
      <c r="O288" s="68">
        <f>IFERROR($L288-$M288,"")</f>
        <v/>
      </c>
      <c r="P288" s="68">
        <f>IFERROR($O288-$N288,"")</f>
        <v/>
      </c>
      <c r="Q288" s="69">
        <f>IFERROR($P288/$L288,"")</f>
        <v/>
      </c>
    </row>
    <row r="289" ht="15" customHeight="1" s="47">
      <c r="A289" s="183" t="n">
        <v>46207</v>
      </c>
      <c r="B289" s="182" t="inlineStr">
        <is>
          <t>T05</t>
        </is>
      </c>
      <c r="C289" s="182" t="inlineStr">
        <is>
          <t>EL-011</t>
        </is>
      </c>
      <c r="D289" s="59">
        <f>IFERROR(INDEX(Productos!$B$5:$B$124,MATCH($C289,Productos!$A$5:$A$124,0)),"")</f>
        <v/>
      </c>
      <c r="E289" s="59">
        <f>IFERROR(INDEX(Productos!$D$5:$D$124,MATCH($C289,Productos!$A$5:$A$124,0)),"")</f>
        <v/>
      </c>
      <c r="F289" s="186" t="n">
        <v>1</v>
      </c>
      <c r="G289" s="68">
        <f>IFERROR(INDEX(Productos!$H$5:$H$124,MATCH($C289,Productos!$A$5:$A$124,0)),"")</f>
        <v/>
      </c>
      <c r="H289" s="185" t="n">
        <v>0.07291666666666663</v>
      </c>
      <c r="I289" s="68">
        <f>IFERROR($G289*(1-$H289),"")</f>
        <v/>
      </c>
      <c r="J289" s="182" t="inlineStr">
        <is>
          <t>Crédito propio</t>
        </is>
      </c>
      <c r="K289" s="69">
        <f>IF($J289="",0,IF($J289="Contado",Inicio!$C$26,IF($J289="Tarjeta",Inicio!$C$27,IF($J289="Crédito propio",Inicio!$C$28,0))))</f>
        <v/>
      </c>
      <c r="L289" s="68">
        <f>IFERROR($F289*$I289,"")</f>
        <v/>
      </c>
      <c r="M289" s="68">
        <f>IFERROR($F289*INDEX(Productos!$G$5:$G$124,MATCH($C289,Productos!$A$5:$A$124,0)),"")</f>
        <v/>
      </c>
      <c r="N289" s="68">
        <f>IFERROR($L289*$K289,"")</f>
        <v/>
      </c>
      <c r="O289" s="68">
        <f>IFERROR($L289-$M289,"")</f>
        <v/>
      </c>
      <c r="P289" s="68">
        <f>IFERROR($O289-$N289,"")</f>
        <v/>
      </c>
      <c r="Q289" s="69">
        <f>IFERROR($P289/$L289,"")</f>
        <v/>
      </c>
    </row>
    <row r="290" ht="15" customHeight="1" s="47">
      <c r="A290" s="183" t="n">
        <v>46207</v>
      </c>
      <c r="B290" s="182" t="inlineStr">
        <is>
          <t>T05</t>
        </is>
      </c>
      <c r="C290" s="182" t="inlineStr">
        <is>
          <t>EL-014</t>
        </is>
      </c>
      <c r="D290" s="59">
        <f>IFERROR(INDEX(Productos!$B$5:$B$124,MATCH($C290,Productos!$A$5:$A$124,0)),"")</f>
        <v/>
      </c>
      <c r="E290" s="59">
        <f>IFERROR(INDEX(Productos!$D$5:$D$124,MATCH($C290,Productos!$A$5:$A$124,0)),"")</f>
        <v/>
      </c>
      <c r="F290" s="186" t="n">
        <v>1</v>
      </c>
      <c r="G290" s="68">
        <f>IFERROR(INDEX(Productos!$H$5:$H$124,MATCH($C290,Productos!$A$5:$A$124,0)),"")</f>
        <v/>
      </c>
      <c r="H290" s="185" t="n">
        <v>0</v>
      </c>
      <c r="I290" s="68">
        <f>IFERROR($G290*(1-$H290),"")</f>
        <v/>
      </c>
      <c r="J290" s="182" t="inlineStr">
        <is>
          <t>Tarjeta</t>
        </is>
      </c>
      <c r="K290" s="69">
        <f>IF($J290="",0,IF($J290="Contado",Inicio!$C$26,IF($J290="Tarjeta",Inicio!$C$27,IF($J290="Crédito propio",Inicio!$C$28,0))))</f>
        <v/>
      </c>
      <c r="L290" s="68">
        <f>IFERROR($F290*$I290,"")</f>
        <v/>
      </c>
      <c r="M290" s="68">
        <f>IFERROR($F290*INDEX(Productos!$G$5:$G$124,MATCH($C290,Productos!$A$5:$A$124,0)),"")</f>
        <v/>
      </c>
      <c r="N290" s="68">
        <f>IFERROR($L290*$K290,"")</f>
        <v/>
      </c>
      <c r="O290" s="68">
        <f>IFERROR($L290-$M290,"")</f>
        <v/>
      </c>
      <c r="P290" s="68">
        <f>IFERROR($O290-$N290,"")</f>
        <v/>
      </c>
      <c r="Q290" s="69">
        <f>IFERROR($P290/$L290,"")</f>
        <v/>
      </c>
    </row>
    <row r="291" ht="15" customHeight="1" s="47">
      <c r="A291" s="183" t="n">
        <v>46207</v>
      </c>
      <c r="B291" s="182" t="inlineStr">
        <is>
          <t>T05</t>
        </is>
      </c>
      <c r="C291" s="182" t="inlineStr">
        <is>
          <t>EL-018</t>
        </is>
      </c>
      <c r="D291" s="59">
        <f>IFERROR(INDEX(Productos!$B$5:$B$124,MATCH($C291,Productos!$A$5:$A$124,0)),"")</f>
        <v/>
      </c>
      <c r="E291" s="59">
        <f>IFERROR(INDEX(Productos!$D$5:$D$124,MATCH($C291,Productos!$A$5:$A$124,0)),"")</f>
        <v/>
      </c>
      <c r="F291" s="186" t="n">
        <v>1</v>
      </c>
      <c r="G291" s="68">
        <f>IFERROR(INDEX(Productos!$H$5:$H$124,MATCH($C291,Productos!$A$5:$A$124,0)),"")</f>
        <v/>
      </c>
      <c r="H291" s="185" t="n">
        <v>0</v>
      </c>
      <c r="I291" s="68">
        <f>IFERROR($G291*(1-$H291),"")</f>
        <v/>
      </c>
      <c r="J291" s="182" t="inlineStr">
        <is>
          <t>Tarjeta</t>
        </is>
      </c>
      <c r="K291" s="69">
        <f>IF($J291="",0,IF($J291="Contado",Inicio!$C$26,IF($J291="Tarjeta",Inicio!$C$27,IF($J291="Crédito propio",Inicio!$C$28,0))))</f>
        <v/>
      </c>
      <c r="L291" s="68">
        <f>IFERROR($F291*$I291,"")</f>
        <v/>
      </c>
      <c r="M291" s="68">
        <f>IFERROR($F291*INDEX(Productos!$G$5:$G$124,MATCH($C291,Productos!$A$5:$A$124,0)),"")</f>
        <v/>
      </c>
      <c r="N291" s="68">
        <f>IFERROR($L291*$K291,"")</f>
        <v/>
      </c>
      <c r="O291" s="68">
        <f>IFERROR($L291-$M291,"")</f>
        <v/>
      </c>
      <c r="P291" s="68">
        <f>IFERROR($O291-$N291,"")</f>
        <v/>
      </c>
      <c r="Q291" s="69">
        <f>IFERROR($P291/$L291,"")</f>
        <v/>
      </c>
    </row>
    <row r="292" ht="15" customHeight="1" s="47">
      <c r="A292" s="183" t="n">
        <v>46207</v>
      </c>
      <c r="B292" s="182" t="inlineStr">
        <is>
          <t>T05</t>
        </is>
      </c>
      <c r="C292" s="182" t="inlineStr">
        <is>
          <t>EL-024</t>
        </is>
      </c>
      <c r="D292" s="59">
        <f>IFERROR(INDEX(Productos!$B$5:$B$124,MATCH($C292,Productos!$A$5:$A$124,0)),"")</f>
        <v/>
      </c>
      <c r="E292" s="59">
        <f>IFERROR(INDEX(Productos!$D$5:$D$124,MATCH($C292,Productos!$A$5:$A$124,0)),"")</f>
        <v/>
      </c>
      <c r="F292" s="186" t="n">
        <v>1</v>
      </c>
      <c r="G292" s="68">
        <f>IFERROR(INDEX(Productos!$H$5:$H$124,MATCH($C292,Productos!$A$5:$A$124,0)),"")</f>
        <v/>
      </c>
      <c r="H292" s="185" t="n">
        <v>0.05</v>
      </c>
      <c r="I292" s="68">
        <f>IFERROR($G292*(1-$H292),"")</f>
        <v/>
      </c>
      <c r="J292" s="182" t="inlineStr">
        <is>
          <t>Contado</t>
        </is>
      </c>
      <c r="K292" s="69">
        <f>IF($J292="",0,IF($J292="Contado",Inicio!$C$26,IF($J292="Tarjeta",Inicio!$C$27,IF($J292="Crédito propio",Inicio!$C$28,0))))</f>
        <v/>
      </c>
      <c r="L292" s="68">
        <f>IFERROR($F292*$I292,"")</f>
        <v/>
      </c>
      <c r="M292" s="68">
        <f>IFERROR($F292*INDEX(Productos!$G$5:$G$124,MATCH($C292,Productos!$A$5:$A$124,0)),"")</f>
        <v/>
      </c>
      <c r="N292" s="68">
        <f>IFERROR($L292*$K292,"")</f>
        <v/>
      </c>
      <c r="O292" s="68">
        <f>IFERROR($L292-$M292,"")</f>
        <v/>
      </c>
      <c r="P292" s="68">
        <f>IFERROR($O292-$N292,"")</f>
        <v/>
      </c>
      <c r="Q292" s="69">
        <f>IFERROR($P292/$L292,"")</f>
        <v/>
      </c>
    </row>
    <row r="293" ht="15" customHeight="1" s="47">
      <c r="A293" s="183" t="n">
        <v>46207</v>
      </c>
      <c r="B293" s="182" t="inlineStr">
        <is>
          <t>T05</t>
        </is>
      </c>
      <c r="C293" s="182" t="inlineStr">
        <is>
          <t>EL-025</t>
        </is>
      </c>
      <c r="D293" s="59">
        <f>IFERROR(INDEX(Productos!$B$5:$B$124,MATCH($C293,Productos!$A$5:$A$124,0)),"")</f>
        <v/>
      </c>
      <c r="E293" s="59">
        <f>IFERROR(INDEX(Productos!$D$5:$D$124,MATCH($C293,Productos!$A$5:$A$124,0)),"")</f>
        <v/>
      </c>
      <c r="F293" s="186" t="n">
        <v>1</v>
      </c>
      <c r="G293" s="68">
        <f>IFERROR(INDEX(Productos!$H$5:$H$124,MATCH($C293,Productos!$A$5:$A$124,0)),"")</f>
        <v/>
      </c>
      <c r="H293" s="185" t="n">
        <v>0.07079646017699115</v>
      </c>
      <c r="I293" s="68">
        <f>IFERROR($G293*(1-$H293),"")</f>
        <v/>
      </c>
      <c r="J293" s="182" t="inlineStr">
        <is>
          <t>Crédito propio</t>
        </is>
      </c>
      <c r="K293" s="69">
        <f>IF($J293="",0,IF($J293="Contado",Inicio!$C$26,IF($J293="Tarjeta",Inicio!$C$27,IF($J293="Crédito propio",Inicio!$C$28,0))))</f>
        <v/>
      </c>
      <c r="L293" s="68">
        <f>IFERROR($F293*$I293,"")</f>
        <v/>
      </c>
      <c r="M293" s="68">
        <f>IFERROR($F293*INDEX(Productos!$G$5:$G$124,MATCH($C293,Productos!$A$5:$A$124,0)),"")</f>
        <v/>
      </c>
      <c r="N293" s="68">
        <f>IFERROR($L293*$K293,"")</f>
        <v/>
      </c>
      <c r="O293" s="68">
        <f>IFERROR($L293-$M293,"")</f>
        <v/>
      </c>
      <c r="P293" s="68">
        <f>IFERROR($O293-$N293,"")</f>
        <v/>
      </c>
      <c r="Q293" s="69">
        <f>IFERROR($P293/$L293,"")</f>
        <v/>
      </c>
    </row>
    <row r="294" ht="15" customHeight="1" s="47">
      <c r="A294" s="183" t="n">
        <v>46207</v>
      </c>
      <c r="B294" s="182" t="inlineStr">
        <is>
          <t>T05</t>
        </is>
      </c>
      <c r="C294" s="182" t="inlineStr">
        <is>
          <t>EL-027</t>
        </is>
      </c>
      <c r="D294" s="59">
        <f>IFERROR(INDEX(Productos!$B$5:$B$124,MATCH($C294,Productos!$A$5:$A$124,0)),"")</f>
        <v/>
      </c>
      <c r="E294" s="59">
        <f>IFERROR(INDEX(Productos!$D$5:$D$124,MATCH($C294,Productos!$A$5:$A$124,0)),"")</f>
        <v/>
      </c>
      <c r="F294" s="186" t="n">
        <v>1</v>
      </c>
      <c r="G294" s="68">
        <f>IFERROR(INDEX(Productos!$H$5:$H$124,MATCH($C294,Productos!$A$5:$A$124,0)),"")</f>
        <v/>
      </c>
      <c r="H294" s="185" t="n">
        <v>0</v>
      </c>
      <c r="I294" s="68">
        <f>IFERROR($G294*(1-$H294),"")</f>
        <v/>
      </c>
      <c r="J294" s="182" t="inlineStr">
        <is>
          <t>Tarjeta</t>
        </is>
      </c>
      <c r="K294" s="69">
        <f>IF($J294="",0,IF($J294="Contado",Inicio!$C$26,IF($J294="Tarjeta",Inicio!$C$27,IF($J294="Crédito propio",Inicio!$C$28,0))))</f>
        <v/>
      </c>
      <c r="L294" s="68">
        <f>IFERROR($F294*$I294,"")</f>
        <v/>
      </c>
      <c r="M294" s="68">
        <f>IFERROR($F294*INDEX(Productos!$G$5:$G$124,MATCH($C294,Productos!$A$5:$A$124,0)),"")</f>
        <v/>
      </c>
      <c r="N294" s="68">
        <f>IFERROR($L294*$K294,"")</f>
        <v/>
      </c>
      <c r="O294" s="68">
        <f>IFERROR($L294-$M294,"")</f>
        <v/>
      </c>
      <c r="P294" s="68">
        <f>IFERROR($O294-$N294,"")</f>
        <v/>
      </c>
      <c r="Q294" s="69">
        <f>IFERROR($P294/$L294,"")</f>
        <v/>
      </c>
    </row>
    <row r="295" ht="15" customHeight="1" s="47">
      <c r="A295" s="183" t="n">
        <v>46207</v>
      </c>
      <c r="B295" s="182" t="inlineStr">
        <is>
          <t>T05</t>
        </is>
      </c>
      <c r="C295" s="182" t="inlineStr">
        <is>
          <t>EL-036</t>
        </is>
      </c>
      <c r="D295" s="59">
        <f>IFERROR(INDEX(Productos!$B$5:$B$124,MATCH($C295,Productos!$A$5:$A$124,0)),"")</f>
        <v/>
      </c>
      <c r="E295" s="59">
        <f>IFERROR(INDEX(Productos!$D$5:$D$124,MATCH($C295,Productos!$A$5:$A$124,0)),"")</f>
        <v/>
      </c>
      <c r="F295" s="186" t="n">
        <v>1</v>
      </c>
      <c r="G295" s="68">
        <f>IFERROR(INDEX(Productos!$H$5:$H$124,MATCH($C295,Productos!$A$5:$A$124,0)),"")</f>
        <v/>
      </c>
      <c r="H295" s="185" t="n">
        <v>0</v>
      </c>
      <c r="I295" s="68">
        <f>IFERROR($G295*(1-$H295),"")</f>
        <v/>
      </c>
      <c r="J295" s="182" t="inlineStr">
        <is>
          <t>Contado</t>
        </is>
      </c>
      <c r="K295" s="69">
        <f>IF($J295="",0,IF($J295="Contado",Inicio!$C$26,IF($J295="Tarjeta",Inicio!$C$27,IF($J295="Crédito propio",Inicio!$C$28,0))))</f>
        <v/>
      </c>
      <c r="L295" s="68">
        <f>IFERROR($F295*$I295,"")</f>
        <v/>
      </c>
      <c r="M295" s="68">
        <f>IFERROR($F295*INDEX(Productos!$G$5:$G$124,MATCH($C295,Productos!$A$5:$A$124,0)),"")</f>
        <v/>
      </c>
      <c r="N295" s="68">
        <f>IFERROR($L295*$K295,"")</f>
        <v/>
      </c>
      <c r="O295" s="68">
        <f>IFERROR($L295-$M295,"")</f>
        <v/>
      </c>
      <c r="P295" s="68">
        <f>IFERROR($O295-$N295,"")</f>
        <v/>
      </c>
      <c r="Q295" s="69">
        <f>IFERROR($P295/$L295,"")</f>
        <v/>
      </c>
    </row>
    <row r="296" ht="15" customHeight="1" s="47">
      <c r="A296" s="183" t="n">
        <v>46207</v>
      </c>
      <c r="B296" s="182" t="inlineStr">
        <is>
          <t>T05</t>
        </is>
      </c>
      <c r="C296" s="182" t="inlineStr">
        <is>
          <t>EL-038</t>
        </is>
      </c>
      <c r="D296" s="59">
        <f>IFERROR(INDEX(Productos!$B$5:$B$124,MATCH($C296,Productos!$A$5:$A$124,0)),"")</f>
        <v/>
      </c>
      <c r="E296" s="59">
        <f>IFERROR(INDEX(Productos!$D$5:$D$124,MATCH($C296,Productos!$A$5:$A$124,0)),"")</f>
        <v/>
      </c>
      <c r="F296" s="186" t="n">
        <v>1</v>
      </c>
      <c r="G296" s="68">
        <f>IFERROR(INDEX(Productos!$H$5:$H$124,MATCH($C296,Productos!$A$5:$A$124,0)),"")</f>
        <v/>
      </c>
      <c r="H296" s="185" t="n">
        <v>0.05</v>
      </c>
      <c r="I296" s="68">
        <f>IFERROR($G296*(1-$H296),"")</f>
        <v/>
      </c>
      <c r="J296" s="182" t="inlineStr">
        <is>
          <t>Contado</t>
        </is>
      </c>
      <c r="K296" s="69">
        <f>IF($J296="",0,IF($J296="Contado",Inicio!$C$26,IF($J296="Tarjeta",Inicio!$C$27,IF($J296="Crédito propio",Inicio!$C$28,0))))</f>
        <v/>
      </c>
      <c r="L296" s="68">
        <f>IFERROR($F296*$I296,"")</f>
        <v/>
      </c>
      <c r="M296" s="68">
        <f>IFERROR($F296*INDEX(Productos!$G$5:$G$124,MATCH($C296,Productos!$A$5:$A$124,0)),"")</f>
        <v/>
      </c>
      <c r="N296" s="68">
        <f>IFERROR($L296*$K296,"")</f>
        <v/>
      </c>
      <c r="O296" s="68">
        <f>IFERROR($L296-$M296,"")</f>
        <v/>
      </c>
      <c r="P296" s="68">
        <f>IFERROR($O296-$N296,"")</f>
        <v/>
      </c>
      <c r="Q296" s="69">
        <f>IFERROR($P296/$L296,"")</f>
        <v/>
      </c>
    </row>
    <row r="297" ht="15" customHeight="1" s="47">
      <c r="A297" s="183" t="n">
        <v>46207</v>
      </c>
      <c r="B297" s="182" t="inlineStr">
        <is>
          <t>T05</t>
        </is>
      </c>
      <c r="C297" s="182" t="inlineStr">
        <is>
          <t>EL-039</t>
        </is>
      </c>
      <c r="D297" s="59">
        <f>IFERROR(INDEX(Productos!$B$5:$B$124,MATCH($C297,Productos!$A$5:$A$124,0)),"")</f>
        <v/>
      </c>
      <c r="E297" s="59">
        <f>IFERROR(INDEX(Productos!$D$5:$D$124,MATCH($C297,Productos!$A$5:$A$124,0)),"")</f>
        <v/>
      </c>
      <c r="F297" s="186" t="n">
        <v>1</v>
      </c>
      <c r="G297" s="68">
        <f>IFERROR(INDEX(Productos!$H$5:$H$124,MATCH($C297,Productos!$A$5:$A$124,0)),"")</f>
        <v/>
      </c>
      <c r="H297" s="185" t="n">
        <v>0</v>
      </c>
      <c r="I297" s="68">
        <f>IFERROR($G297*(1-$H297),"")</f>
        <v/>
      </c>
      <c r="J297" s="182" t="inlineStr">
        <is>
          <t>Crédito propio</t>
        </is>
      </c>
      <c r="K297" s="69">
        <f>IF($J297="",0,IF($J297="Contado",Inicio!$C$26,IF($J297="Tarjeta",Inicio!$C$27,IF($J297="Crédito propio",Inicio!$C$28,0))))</f>
        <v/>
      </c>
      <c r="L297" s="68">
        <f>IFERROR($F297*$I297,"")</f>
        <v/>
      </c>
      <c r="M297" s="68">
        <f>IFERROR($F297*INDEX(Productos!$G$5:$G$124,MATCH($C297,Productos!$A$5:$A$124,0)),"")</f>
        <v/>
      </c>
      <c r="N297" s="68">
        <f>IFERROR($L297*$K297,"")</f>
        <v/>
      </c>
      <c r="O297" s="68">
        <f>IFERROR($L297-$M297,"")</f>
        <v/>
      </c>
      <c r="P297" s="68">
        <f>IFERROR($O297-$N297,"")</f>
        <v/>
      </c>
      <c r="Q297" s="69">
        <f>IFERROR($P297/$L297,"")</f>
        <v/>
      </c>
    </row>
    <row r="298" ht="15" customHeight="1" s="47">
      <c r="A298" s="183" t="n">
        <v>46207</v>
      </c>
      <c r="B298" s="182" t="inlineStr">
        <is>
          <t>T05</t>
        </is>
      </c>
      <c r="C298" s="182" t="inlineStr">
        <is>
          <t>EL-044</t>
        </is>
      </c>
      <c r="D298" s="59">
        <f>IFERROR(INDEX(Productos!$B$5:$B$124,MATCH($C298,Productos!$A$5:$A$124,0)),"")</f>
        <v/>
      </c>
      <c r="E298" s="59">
        <f>IFERROR(INDEX(Productos!$D$5:$D$124,MATCH($C298,Productos!$A$5:$A$124,0)),"")</f>
        <v/>
      </c>
      <c r="F298" s="186" t="n">
        <v>1</v>
      </c>
      <c r="G298" s="68">
        <f>IFERROR(INDEX(Productos!$H$5:$H$124,MATCH($C298,Productos!$A$5:$A$124,0)),"")</f>
        <v/>
      </c>
      <c r="H298" s="185" t="n">
        <v>0</v>
      </c>
      <c r="I298" s="68">
        <f>IFERROR($G298*(1-$H298),"")</f>
        <v/>
      </c>
      <c r="J298" s="182" t="inlineStr">
        <is>
          <t>Tarjeta</t>
        </is>
      </c>
      <c r="K298" s="69">
        <f>IF($J298="",0,IF($J298="Contado",Inicio!$C$26,IF($J298="Tarjeta",Inicio!$C$27,IF($J298="Crédito propio",Inicio!$C$28,0))))</f>
        <v/>
      </c>
      <c r="L298" s="68">
        <f>IFERROR($F298*$I298,"")</f>
        <v/>
      </c>
      <c r="M298" s="68">
        <f>IFERROR($F298*INDEX(Productos!$G$5:$G$124,MATCH($C298,Productos!$A$5:$A$124,0)),"")</f>
        <v/>
      </c>
      <c r="N298" s="68">
        <f>IFERROR($L298*$K298,"")</f>
        <v/>
      </c>
      <c r="O298" s="68">
        <f>IFERROR($L298-$M298,"")</f>
        <v/>
      </c>
      <c r="P298" s="68">
        <f>IFERROR($O298-$N298,"")</f>
        <v/>
      </c>
      <c r="Q298" s="69">
        <f>IFERROR($P298/$L298,"")</f>
        <v/>
      </c>
    </row>
    <row r="299" ht="15" customHeight="1" s="47">
      <c r="A299" s="183" t="n">
        <v>46207</v>
      </c>
      <c r="B299" s="182" t="inlineStr">
        <is>
          <t>T05</t>
        </is>
      </c>
      <c r="C299" s="182" t="inlineStr">
        <is>
          <t>EL-046</t>
        </is>
      </c>
      <c r="D299" s="59">
        <f>IFERROR(INDEX(Productos!$B$5:$B$124,MATCH($C299,Productos!$A$5:$A$124,0)),"")</f>
        <v/>
      </c>
      <c r="E299" s="59">
        <f>IFERROR(INDEX(Productos!$D$5:$D$124,MATCH($C299,Productos!$A$5:$A$124,0)),"")</f>
        <v/>
      </c>
      <c r="F299" s="186" t="n">
        <v>2</v>
      </c>
      <c r="G299" s="68">
        <f>IFERROR(INDEX(Productos!$H$5:$H$124,MATCH($C299,Productos!$A$5:$A$124,0)),"")</f>
        <v/>
      </c>
      <c r="H299" s="185" t="n">
        <v>0.03</v>
      </c>
      <c r="I299" s="68">
        <f>IFERROR($G299*(1-$H299),"")</f>
        <v/>
      </c>
      <c r="J299" s="182" t="inlineStr">
        <is>
          <t>Crédito propio</t>
        </is>
      </c>
      <c r="K299" s="69">
        <f>IF($J299="",0,IF($J299="Contado",Inicio!$C$26,IF($J299="Tarjeta",Inicio!$C$27,IF($J299="Crédito propio",Inicio!$C$28,0))))</f>
        <v/>
      </c>
      <c r="L299" s="68">
        <f>IFERROR($F299*$I299,"")</f>
        <v/>
      </c>
      <c r="M299" s="68">
        <f>IFERROR($F299*INDEX(Productos!$G$5:$G$124,MATCH($C299,Productos!$A$5:$A$124,0)),"")</f>
        <v/>
      </c>
      <c r="N299" s="68">
        <f>IFERROR($L299*$K299,"")</f>
        <v/>
      </c>
      <c r="O299" s="68">
        <f>IFERROR($L299-$M299,"")</f>
        <v/>
      </c>
      <c r="P299" s="68">
        <f>IFERROR($O299-$N299,"")</f>
        <v/>
      </c>
      <c r="Q299" s="69">
        <f>IFERROR($P299/$L299,"")</f>
        <v/>
      </c>
    </row>
    <row r="300" ht="15" customHeight="1" s="47">
      <c r="A300" s="183" t="n">
        <v>46207</v>
      </c>
      <c r="B300" s="182" t="inlineStr">
        <is>
          <t>T05</t>
        </is>
      </c>
      <c r="C300" s="182" t="inlineStr">
        <is>
          <t>EL-047</t>
        </is>
      </c>
      <c r="D300" s="59">
        <f>IFERROR(INDEX(Productos!$B$5:$B$124,MATCH($C300,Productos!$A$5:$A$124,0)),"")</f>
        <v/>
      </c>
      <c r="E300" s="59">
        <f>IFERROR(INDEX(Productos!$D$5:$D$124,MATCH($C300,Productos!$A$5:$A$124,0)),"")</f>
        <v/>
      </c>
      <c r="F300" s="186" t="n">
        <v>1</v>
      </c>
      <c r="G300" s="68">
        <f>IFERROR(INDEX(Productos!$H$5:$H$124,MATCH($C300,Productos!$A$5:$A$124,0)),"")</f>
        <v/>
      </c>
      <c r="H300" s="185" t="n">
        <v>0.05</v>
      </c>
      <c r="I300" s="68">
        <f>IFERROR($G300*(1-$H300),"")</f>
        <v/>
      </c>
      <c r="J300" s="182" t="inlineStr">
        <is>
          <t>Crédito propio</t>
        </is>
      </c>
      <c r="K300" s="69">
        <f>IF($J300="",0,IF($J300="Contado",Inicio!$C$26,IF($J300="Tarjeta",Inicio!$C$27,IF($J300="Crédito propio",Inicio!$C$28,0))))</f>
        <v/>
      </c>
      <c r="L300" s="68">
        <f>IFERROR($F300*$I300,"")</f>
        <v/>
      </c>
      <c r="M300" s="68">
        <f>IFERROR($F300*INDEX(Productos!$G$5:$G$124,MATCH($C300,Productos!$A$5:$A$124,0)),"")</f>
        <v/>
      </c>
      <c r="N300" s="68">
        <f>IFERROR($L300*$K300,"")</f>
        <v/>
      </c>
      <c r="O300" s="68">
        <f>IFERROR($L300-$M300,"")</f>
        <v/>
      </c>
      <c r="P300" s="68">
        <f>IFERROR($O300-$N300,"")</f>
        <v/>
      </c>
      <c r="Q300" s="69">
        <f>IFERROR($P300/$L300,"")</f>
        <v/>
      </c>
    </row>
    <row r="301" ht="15" customHeight="1" s="47">
      <c r="A301" s="183" t="n">
        <v>46207</v>
      </c>
      <c r="B301" s="182" t="inlineStr">
        <is>
          <t>T05</t>
        </is>
      </c>
      <c r="C301" s="182" t="inlineStr">
        <is>
          <t>EL-049</t>
        </is>
      </c>
      <c r="D301" s="59">
        <f>IFERROR(INDEX(Productos!$B$5:$B$124,MATCH($C301,Productos!$A$5:$A$124,0)),"")</f>
        <v/>
      </c>
      <c r="E301" s="59">
        <f>IFERROR(INDEX(Productos!$D$5:$D$124,MATCH($C301,Productos!$A$5:$A$124,0)),"")</f>
        <v/>
      </c>
      <c r="F301" s="186" t="n">
        <v>1</v>
      </c>
      <c r="G301" s="68">
        <f>IFERROR(INDEX(Productos!$H$5:$H$124,MATCH($C301,Productos!$A$5:$A$124,0)),"")</f>
        <v/>
      </c>
      <c r="H301" s="185" t="n">
        <v>0.05</v>
      </c>
      <c r="I301" s="68">
        <f>IFERROR($G301*(1-$H301),"")</f>
        <v/>
      </c>
      <c r="J301" s="182" t="inlineStr">
        <is>
          <t>Tarjeta</t>
        </is>
      </c>
      <c r="K301" s="69">
        <f>IF($J301="",0,IF($J301="Contado",Inicio!$C$26,IF($J301="Tarjeta",Inicio!$C$27,IF($J301="Crédito propio",Inicio!$C$28,0))))</f>
        <v/>
      </c>
      <c r="L301" s="68">
        <f>IFERROR($F301*$I301,"")</f>
        <v/>
      </c>
      <c r="M301" s="68">
        <f>IFERROR($F301*INDEX(Productos!$G$5:$G$124,MATCH($C301,Productos!$A$5:$A$124,0)),"")</f>
        <v/>
      </c>
      <c r="N301" s="68">
        <f>IFERROR($L301*$K301,"")</f>
        <v/>
      </c>
      <c r="O301" s="68">
        <f>IFERROR($L301-$M301,"")</f>
        <v/>
      </c>
      <c r="P301" s="68">
        <f>IFERROR($O301-$N301,"")</f>
        <v/>
      </c>
      <c r="Q301" s="69">
        <f>IFERROR($P301/$L301,"")</f>
        <v/>
      </c>
    </row>
    <row r="302" ht="15" customHeight="1" s="47">
      <c r="A302" s="183" t="n">
        <v>46207</v>
      </c>
      <c r="B302" s="182" t="inlineStr">
        <is>
          <t>T06</t>
        </is>
      </c>
      <c r="C302" s="182" t="inlineStr">
        <is>
          <t>EL-016</t>
        </is>
      </c>
      <c r="D302" s="59">
        <f>IFERROR(INDEX(Productos!$B$5:$B$124,MATCH($C302,Productos!$A$5:$A$124,0)),"")</f>
        <v/>
      </c>
      <c r="E302" s="59">
        <f>IFERROR(INDEX(Productos!$D$5:$D$124,MATCH($C302,Productos!$A$5:$A$124,0)),"")</f>
        <v/>
      </c>
      <c r="F302" s="186" t="n">
        <v>1</v>
      </c>
      <c r="G302" s="68">
        <f>IFERROR(INDEX(Productos!$H$5:$H$124,MATCH($C302,Productos!$A$5:$A$124,0)),"")</f>
        <v/>
      </c>
      <c r="H302" s="185" t="n">
        <v>0.03</v>
      </c>
      <c r="I302" s="68">
        <f>IFERROR($G302*(1-$H302),"")</f>
        <v/>
      </c>
      <c r="J302" s="182" t="inlineStr">
        <is>
          <t>Tarjeta</t>
        </is>
      </c>
      <c r="K302" s="69">
        <f>IF($J302="",0,IF($J302="Contado",Inicio!$C$26,IF($J302="Tarjeta",Inicio!$C$27,IF($J302="Crédito propio",Inicio!$C$28,0))))</f>
        <v/>
      </c>
      <c r="L302" s="68">
        <f>IFERROR($F302*$I302,"")</f>
        <v/>
      </c>
      <c r="M302" s="68">
        <f>IFERROR($F302*INDEX(Productos!$G$5:$G$124,MATCH($C302,Productos!$A$5:$A$124,0)),"")</f>
        <v/>
      </c>
      <c r="N302" s="68">
        <f>IFERROR($L302*$K302,"")</f>
        <v/>
      </c>
      <c r="O302" s="68">
        <f>IFERROR($L302-$M302,"")</f>
        <v/>
      </c>
      <c r="P302" s="68">
        <f>IFERROR($O302-$N302,"")</f>
        <v/>
      </c>
      <c r="Q302" s="69">
        <f>IFERROR($P302/$L302,"")</f>
        <v/>
      </c>
    </row>
    <row r="303" ht="15" customHeight="1" s="47">
      <c r="A303" s="183" t="n">
        <v>46207</v>
      </c>
      <c r="B303" s="182" t="inlineStr">
        <is>
          <t>T06</t>
        </is>
      </c>
      <c r="C303" s="182" t="inlineStr">
        <is>
          <t>EL-018</t>
        </is>
      </c>
      <c r="D303" s="59">
        <f>IFERROR(INDEX(Productos!$B$5:$B$124,MATCH($C303,Productos!$A$5:$A$124,0)),"")</f>
        <v/>
      </c>
      <c r="E303" s="59">
        <f>IFERROR(INDEX(Productos!$D$5:$D$124,MATCH($C303,Productos!$A$5:$A$124,0)),"")</f>
        <v/>
      </c>
      <c r="F303" s="186" t="n">
        <v>1</v>
      </c>
      <c r="G303" s="68">
        <f>IFERROR(INDEX(Productos!$H$5:$H$124,MATCH($C303,Productos!$A$5:$A$124,0)),"")</f>
        <v/>
      </c>
      <c r="H303" s="185" t="n">
        <v>0.03</v>
      </c>
      <c r="I303" s="68">
        <f>IFERROR($G303*(1-$H303),"")</f>
        <v/>
      </c>
      <c r="J303" s="182" t="inlineStr">
        <is>
          <t>Tarjeta</t>
        </is>
      </c>
      <c r="K303" s="69">
        <f>IF($J303="",0,IF($J303="Contado",Inicio!$C$26,IF($J303="Tarjeta",Inicio!$C$27,IF($J303="Crédito propio",Inicio!$C$28,0))))</f>
        <v/>
      </c>
      <c r="L303" s="68">
        <f>IFERROR($F303*$I303,"")</f>
        <v/>
      </c>
      <c r="M303" s="68">
        <f>IFERROR($F303*INDEX(Productos!$G$5:$G$124,MATCH($C303,Productos!$A$5:$A$124,0)),"")</f>
        <v/>
      </c>
      <c r="N303" s="68">
        <f>IFERROR($L303*$K303,"")</f>
        <v/>
      </c>
      <c r="O303" s="68">
        <f>IFERROR($L303-$M303,"")</f>
        <v/>
      </c>
      <c r="P303" s="68">
        <f>IFERROR($O303-$N303,"")</f>
        <v/>
      </c>
      <c r="Q303" s="69">
        <f>IFERROR($P303/$L303,"")</f>
        <v/>
      </c>
    </row>
    <row r="304" ht="15" customHeight="1" s="47">
      <c r="A304" s="183" t="n">
        <v>46207</v>
      </c>
      <c r="B304" s="182" t="inlineStr">
        <is>
          <t>T06</t>
        </is>
      </c>
      <c r="C304" s="182" t="inlineStr">
        <is>
          <t>EL-027</t>
        </is>
      </c>
      <c r="D304" s="59">
        <f>IFERROR(INDEX(Productos!$B$5:$B$124,MATCH($C304,Productos!$A$5:$A$124,0)),"")</f>
        <v/>
      </c>
      <c r="E304" s="59">
        <f>IFERROR(INDEX(Productos!$D$5:$D$124,MATCH($C304,Productos!$A$5:$A$124,0)),"")</f>
        <v/>
      </c>
      <c r="F304" s="186" t="n">
        <v>1</v>
      </c>
      <c r="G304" s="68">
        <f>IFERROR(INDEX(Productos!$H$5:$H$124,MATCH($C304,Productos!$A$5:$A$124,0)),"")</f>
        <v/>
      </c>
      <c r="H304" s="185" t="n">
        <v>0.06493506493506496</v>
      </c>
      <c r="I304" s="68">
        <f>IFERROR($G304*(1-$H304),"")</f>
        <v/>
      </c>
      <c r="J304" s="182" t="inlineStr">
        <is>
          <t>Crédito propio</t>
        </is>
      </c>
      <c r="K304" s="69">
        <f>IF($J304="",0,IF($J304="Contado",Inicio!$C$26,IF($J304="Tarjeta",Inicio!$C$27,IF($J304="Crédito propio",Inicio!$C$28,0))))</f>
        <v/>
      </c>
      <c r="L304" s="68">
        <f>IFERROR($F304*$I304,"")</f>
        <v/>
      </c>
      <c r="M304" s="68">
        <f>IFERROR($F304*INDEX(Productos!$G$5:$G$124,MATCH($C304,Productos!$A$5:$A$124,0)),"")</f>
        <v/>
      </c>
      <c r="N304" s="68">
        <f>IFERROR($L304*$K304,"")</f>
        <v/>
      </c>
      <c r="O304" s="68">
        <f>IFERROR($L304-$M304,"")</f>
        <v/>
      </c>
      <c r="P304" s="68">
        <f>IFERROR($O304-$N304,"")</f>
        <v/>
      </c>
      <c r="Q304" s="69">
        <f>IFERROR($P304/$L304,"")</f>
        <v/>
      </c>
    </row>
    <row r="305" ht="15" customHeight="1" s="47">
      <c r="A305" s="183" t="n">
        <v>46207</v>
      </c>
      <c r="B305" s="182" t="inlineStr">
        <is>
          <t>T06</t>
        </is>
      </c>
      <c r="C305" s="182" t="inlineStr">
        <is>
          <t>EL-038</t>
        </is>
      </c>
      <c r="D305" s="59">
        <f>IFERROR(INDEX(Productos!$B$5:$B$124,MATCH($C305,Productos!$A$5:$A$124,0)),"")</f>
        <v/>
      </c>
      <c r="E305" s="59">
        <f>IFERROR(INDEX(Productos!$D$5:$D$124,MATCH($C305,Productos!$A$5:$A$124,0)),"")</f>
        <v/>
      </c>
      <c r="F305" s="186" t="n">
        <v>1</v>
      </c>
      <c r="G305" s="68">
        <f>IFERROR(INDEX(Productos!$H$5:$H$124,MATCH($C305,Productos!$A$5:$A$124,0)),"")</f>
        <v/>
      </c>
      <c r="H305" s="185" t="n">
        <v>0.03</v>
      </c>
      <c r="I305" s="68">
        <f>IFERROR($G305*(1-$H305),"")</f>
        <v/>
      </c>
      <c r="J305" s="182" t="inlineStr">
        <is>
          <t>Tarjeta</t>
        </is>
      </c>
      <c r="K305" s="69">
        <f>IF($J305="",0,IF($J305="Contado",Inicio!$C$26,IF($J305="Tarjeta",Inicio!$C$27,IF($J305="Crédito propio",Inicio!$C$28,0))))</f>
        <v/>
      </c>
      <c r="L305" s="68">
        <f>IFERROR($F305*$I305,"")</f>
        <v/>
      </c>
      <c r="M305" s="68">
        <f>IFERROR($F305*INDEX(Productos!$G$5:$G$124,MATCH($C305,Productos!$A$5:$A$124,0)),"")</f>
        <v/>
      </c>
      <c r="N305" s="68">
        <f>IFERROR($L305*$K305,"")</f>
        <v/>
      </c>
      <c r="O305" s="68">
        <f>IFERROR($L305-$M305,"")</f>
        <v/>
      </c>
      <c r="P305" s="68">
        <f>IFERROR($O305-$N305,"")</f>
        <v/>
      </c>
      <c r="Q305" s="69">
        <f>IFERROR($P305/$L305,"")</f>
        <v/>
      </c>
    </row>
    <row r="306" ht="15" customHeight="1" s="47">
      <c r="A306" s="183" t="n">
        <v>46207</v>
      </c>
      <c r="B306" s="182" t="inlineStr">
        <is>
          <t>T06</t>
        </is>
      </c>
      <c r="C306" s="182" t="inlineStr">
        <is>
          <t>EL-039</t>
        </is>
      </c>
      <c r="D306" s="59">
        <f>IFERROR(INDEX(Productos!$B$5:$B$124,MATCH($C306,Productos!$A$5:$A$124,0)),"")</f>
        <v/>
      </c>
      <c r="E306" s="59">
        <f>IFERROR(INDEX(Productos!$D$5:$D$124,MATCH($C306,Productos!$A$5:$A$124,0)),"")</f>
        <v/>
      </c>
      <c r="F306" s="186" t="n">
        <v>2</v>
      </c>
      <c r="G306" s="68">
        <f>IFERROR(INDEX(Productos!$H$5:$H$124,MATCH($C306,Productos!$A$5:$A$124,0)),"")</f>
        <v/>
      </c>
      <c r="H306" s="185" t="n">
        <v>0.069620253164557</v>
      </c>
      <c r="I306" s="68">
        <f>IFERROR($G306*(1-$H306),"")</f>
        <v/>
      </c>
      <c r="J306" s="182" t="inlineStr">
        <is>
          <t>Tarjeta</t>
        </is>
      </c>
      <c r="K306" s="69">
        <f>IF($J306="",0,IF($J306="Contado",Inicio!$C$26,IF($J306="Tarjeta",Inicio!$C$27,IF($J306="Crédito propio",Inicio!$C$28,0))))</f>
        <v/>
      </c>
      <c r="L306" s="68">
        <f>IFERROR($F306*$I306,"")</f>
        <v/>
      </c>
      <c r="M306" s="68">
        <f>IFERROR($F306*INDEX(Productos!$G$5:$G$124,MATCH($C306,Productos!$A$5:$A$124,0)),"")</f>
        <v/>
      </c>
      <c r="N306" s="68">
        <f>IFERROR($L306*$K306,"")</f>
        <v/>
      </c>
      <c r="O306" s="68">
        <f>IFERROR($L306-$M306,"")</f>
        <v/>
      </c>
      <c r="P306" s="68">
        <f>IFERROR($O306-$N306,"")</f>
        <v/>
      </c>
      <c r="Q306" s="69">
        <f>IFERROR($P306/$L306,"")</f>
        <v/>
      </c>
    </row>
    <row r="307" ht="15" customHeight="1" s="47">
      <c r="A307" s="183" t="n">
        <v>46207</v>
      </c>
      <c r="B307" s="182" t="inlineStr">
        <is>
          <t>T06</t>
        </is>
      </c>
      <c r="C307" s="182" t="inlineStr">
        <is>
          <t>EL-046</t>
        </is>
      </c>
      <c r="D307" s="59">
        <f>IFERROR(INDEX(Productos!$B$5:$B$124,MATCH($C307,Productos!$A$5:$A$124,0)),"")</f>
        <v/>
      </c>
      <c r="E307" s="59">
        <f>IFERROR(INDEX(Productos!$D$5:$D$124,MATCH($C307,Productos!$A$5:$A$124,0)),"")</f>
        <v/>
      </c>
      <c r="F307" s="186" t="n">
        <v>1</v>
      </c>
      <c r="G307" s="68">
        <f>IFERROR(INDEX(Productos!$H$5:$H$124,MATCH($C307,Productos!$A$5:$A$124,0)),"")</f>
        <v/>
      </c>
      <c r="H307" s="185" t="n">
        <v>0.05</v>
      </c>
      <c r="I307" s="68">
        <f>IFERROR($G307*(1-$H307),"")</f>
        <v/>
      </c>
      <c r="J307" s="182" t="inlineStr">
        <is>
          <t>Crédito propio</t>
        </is>
      </c>
      <c r="K307" s="69">
        <f>IF($J307="",0,IF($J307="Contado",Inicio!$C$26,IF($J307="Tarjeta",Inicio!$C$27,IF($J307="Crédito propio",Inicio!$C$28,0))))</f>
        <v/>
      </c>
      <c r="L307" s="68">
        <f>IFERROR($F307*$I307,"")</f>
        <v/>
      </c>
      <c r="M307" s="68">
        <f>IFERROR($F307*INDEX(Productos!$G$5:$G$124,MATCH($C307,Productos!$A$5:$A$124,0)),"")</f>
        <v/>
      </c>
      <c r="N307" s="68">
        <f>IFERROR($L307*$K307,"")</f>
        <v/>
      </c>
      <c r="O307" s="68">
        <f>IFERROR($L307-$M307,"")</f>
        <v/>
      </c>
      <c r="P307" s="68">
        <f>IFERROR($O307-$N307,"")</f>
        <v/>
      </c>
      <c r="Q307" s="69">
        <f>IFERROR($P307/$L307,"")</f>
        <v/>
      </c>
    </row>
    <row r="308" ht="15" customHeight="1" s="47">
      <c r="A308" s="183" t="n">
        <v>46208</v>
      </c>
      <c r="B308" s="182" t="inlineStr">
        <is>
          <t>T01</t>
        </is>
      </c>
      <c r="C308" s="182" t="inlineStr">
        <is>
          <t>EL-001</t>
        </is>
      </c>
      <c r="D308" s="59">
        <f>IFERROR(INDEX(Productos!$B$5:$B$124,MATCH($C308,Productos!$A$5:$A$124,0)),"")</f>
        <v/>
      </c>
      <c r="E308" s="59">
        <f>IFERROR(INDEX(Productos!$D$5:$D$124,MATCH($C308,Productos!$A$5:$A$124,0)),"")</f>
        <v/>
      </c>
      <c r="F308" s="186" t="n">
        <v>1</v>
      </c>
      <c r="G308" s="68">
        <f>IFERROR(INDEX(Productos!$H$5:$H$124,MATCH($C308,Productos!$A$5:$A$124,0)),"")</f>
        <v/>
      </c>
      <c r="H308" s="185" t="n">
        <v>0</v>
      </c>
      <c r="I308" s="68">
        <f>IFERROR($G308*(1-$H308),"")</f>
        <v/>
      </c>
      <c r="J308" s="182" t="inlineStr">
        <is>
          <t>Tarjeta</t>
        </is>
      </c>
      <c r="K308" s="69">
        <f>IF($J308="",0,IF($J308="Contado",Inicio!$C$26,IF($J308="Tarjeta",Inicio!$C$27,IF($J308="Crédito propio",Inicio!$C$28,0))))</f>
        <v/>
      </c>
      <c r="L308" s="68">
        <f>IFERROR($F308*$I308,"")</f>
        <v/>
      </c>
      <c r="M308" s="68">
        <f>IFERROR($F308*INDEX(Productos!$G$5:$G$124,MATCH($C308,Productos!$A$5:$A$124,0)),"")</f>
        <v/>
      </c>
      <c r="N308" s="68">
        <f>IFERROR($L308*$K308,"")</f>
        <v/>
      </c>
      <c r="O308" s="68">
        <f>IFERROR($L308-$M308,"")</f>
        <v/>
      </c>
      <c r="P308" s="68">
        <f>IFERROR($O308-$N308,"")</f>
        <v/>
      </c>
      <c r="Q308" s="69">
        <f>IFERROR($P308/$L308,"")</f>
        <v/>
      </c>
    </row>
    <row r="309" ht="15" customHeight="1" s="47">
      <c r="A309" s="183" t="n">
        <v>46208</v>
      </c>
      <c r="B309" s="182" t="inlineStr">
        <is>
          <t>T01</t>
        </is>
      </c>
      <c r="C309" s="182" t="inlineStr">
        <is>
          <t>EL-003</t>
        </is>
      </c>
      <c r="D309" s="59">
        <f>IFERROR(INDEX(Productos!$B$5:$B$124,MATCH($C309,Productos!$A$5:$A$124,0)),"")</f>
        <v/>
      </c>
      <c r="E309" s="59">
        <f>IFERROR(INDEX(Productos!$D$5:$D$124,MATCH($C309,Productos!$A$5:$A$124,0)),"")</f>
        <v/>
      </c>
      <c r="F309" s="186" t="n">
        <v>1</v>
      </c>
      <c r="G309" s="68">
        <f>IFERROR(INDEX(Productos!$H$5:$H$124,MATCH($C309,Productos!$A$5:$A$124,0)),"")</f>
        <v/>
      </c>
      <c r="H309" s="185" t="n">
        <v>0.07199999999999999</v>
      </c>
      <c r="I309" s="68">
        <f>IFERROR($G309*(1-$H309),"")</f>
        <v/>
      </c>
      <c r="J309" s="182" t="inlineStr">
        <is>
          <t>Crédito propio</t>
        </is>
      </c>
      <c r="K309" s="69">
        <f>IF($J309="",0,IF($J309="Contado",Inicio!$C$26,IF($J309="Tarjeta",Inicio!$C$27,IF($J309="Crédito propio",Inicio!$C$28,0))))</f>
        <v/>
      </c>
      <c r="L309" s="68">
        <f>IFERROR($F309*$I309,"")</f>
        <v/>
      </c>
      <c r="M309" s="68">
        <f>IFERROR($F309*INDEX(Productos!$G$5:$G$124,MATCH($C309,Productos!$A$5:$A$124,0)),"")</f>
        <v/>
      </c>
      <c r="N309" s="68">
        <f>IFERROR($L309*$K309,"")</f>
        <v/>
      </c>
      <c r="O309" s="68">
        <f>IFERROR($L309-$M309,"")</f>
        <v/>
      </c>
      <c r="P309" s="68">
        <f>IFERROR($O309-$N309,"")</f>
        <v/>
      </c>
      <c r="Q309" s="69">
        <f>IFERROR($P309/$L309,"")</f>
        <v/>
      </c>
    </row>
    <row r="310" ht="15" customHeight="1" s="47">
      <c r="A310" s="183" t="n">
        <v>46208</v>
      </c>
      <c r="B310" s="182" t="inlineStr">
        <is>
          <t>T01</t>
        </is>
      </c>
      <c r="C310" s="182" t="inlineStr">
        <is>
          <t>EL-008</t>
        </is>
      </c>
      <c r="D310" s="59">
        <f>IFERROR(INDEX(Productos!$B$5:$B$124,MATCH($C310,Productos!$A$5:$A$124,0)),"")</f>
        <v/>
      </c>
      <c r="E310" s="59">
        <f>IFERROR(INDEX(Productos!$D$5:$D$124,MATCH($C310,Productos!$A$5:$A$124,0)),"")</f>
        <v/>
      </c>
      <c r="F310" s="186" t="n">
        <v>1</v>
      </c>
      <c r="G310" s="68">
        <f>IFERROR(INDEX(Productos!$H$5:$H$124,MATCH($C310,Productos!$A$5:$A$124,0)),"")</f>
        <v/>
      </c>
      <c r="H310" s="185" t="n">
        <v>0</v>
      </c>
      <c r="I310" s="68">
        <f>IFERROR($G310*(1-$H310),"")</f>
        <v/>
      </c>
      <c r="J310" s="182" t="inlineStr">
        <is>
          <t>Tarjeta</t>
        </is>
      </c>
      <c r="K310" s="69">
        <f>IF($J310="",0,IF($J310="Contado",Inicio!$C$26,IF($J310="Tarjeta",Inicio!$C$27,IF($J310="Crédito propio",Inicio!$C$28,0))))</f>
        <v/>
      </c>
      <c r="L310" s="68">
        <f>IFERROR($F310*$I310,"")</f>
        <v/>
      </c>
      <c r="M310" s="68">
        <f>IFERROR($F310*INDEX(Productos!$G$5:$G$124,MATCH($C310,Productos!$A$5:$A$124,0)),"")</f>
        <v/>
      </c>
      <c r="N310" s="68">
        <f>IFERROR($L310*$K310,"")</f>
        <v/>
      </c>
      <c r="O310" s="68">
        <f>IFERROR($L310-$M310,"")</f>
        <v/>
      </c>
      <c r="P310" s="68">
        <f>IFERROR($O310-$N310,"")</f>
        <v/>
      </c>
      <c r="Q310" s="69">
        <f>IFERROR($P310/$L310,"")</f>
        <v/>
      </c>
    </row>
    <row r="311" ht="15" customHeight="1" s="47">
      <c r="A311" s="183" t="n">
        <v>46208</v>
      </c>
      <c r="B311" s="182" t="inlineStr">
        <is>
          <t>T01</t>
        </is>
      </c>
      <c r="C311" s="182" t="inlineStr">
        <is>
          <t>EL-009</t>
        </is>
      </c>
      <c r="D311" s="59">
        <f>IFERROR(INDEX(Productos!$B$5:$B$124,MATCH($C311,Productos!$A$5:$A$124,0)),"")</f>
        <v/>
      </c>
      <c r="E311" s="59">
        <f>IFERROR(INDEX(Productos!$D$5:$D$124,MATCH($C311,Productos!$A$5:$A$124,0)),"")</f>
        <v/>
      </c>
      <c r="F311" s="186" t="n">
        <v>1</v>
      </c>
      <c r="G311" s="68">
        <f>IFERROR(INDEX(Productos!$H$5:$H$124,MATCH($C311,Productos!$A$5:$A$124,0)),"")</f>
        <v/>
      </c>
      <c r="H311" s="185" t="n">
        <v>0.03</v>
      </c>
      <c r="I311" s="68">
        <f>IFERROR($G311*(1-$H311),"")</f>
        <v/>
      </c>
      <c r="J311" s="182" t="inlineStr">
        <is>
          <t>Crédito propio</t>
        </is>
      </c>
      <c r="K311" s="69">
        <f>IF($J311="",0,IF($J311="Contado",Inicio!$C$26,IF($J311="Tarjeta",Inicio!$C$27,IF($J311="Crédito propio",Inicio!$C$28,0))))</f>
        <v/>
      </c>
      <c r="L311" s="68">
        <f>IFERROR($F311*$I311,"")</f>
        <v/>
      </c>
      <c r="M311" s="68">
        <f>IFERROR($F311*INDEX(Productos!$G$5:$G$124,MATCH($C311,Productos!$A$5:$A$124,0)),"")</f>
        <v/>
      </c>
      <c r="N311" s="68">
        <f>IFERROR($L311*$K311,"")</f>
        <v/>
      </c>
      <c r="O311" s="68">
        <f>IFERROR($L311-$M311,"")</f>
        <v/>
      </c>
      <c r="P311" s="68">
        <f>IFERROR($O311-$N311,"")</f>
        <v/>
      </c>
      <c r="Q311" s="69">
        <f>IFERROR($P311/$L311,"")</f>
        <v/>
      </c>
    </row>
    <row r="312" ht="15" customHeight="1" s="47">
      <c r="A312" s="183" t="n">
        <v>46208</v>
      </c>
      <c r="B312" s="182" t="inlineStr">
        <is>
          <t>T01</t>
        </is>
      </c>
      <c r="C312" s="182" t="inlineStr">
        <is>
          <t>EL-011</t>
        </is>
      </c>
      <c r="D312" s="59">
        <f>IFERROR(INDEX(Productos!$B$5:$B$124,MATCH($C312,Productos!$A$5:$A$124,0)),"")</f>
        <v/>
      </c>
      <c r="E312" s="59">
        <f>IFERROR(INDEX(Productos!$D$5:$D$124,MATCH($C312,Productos!$A$5:$A$124,0)),"")</f>
        <v/>
      </c>
      <c r="F312" s="186" t="n">
        <v>1</v>
      </c>
      <c r="G312" s="68">
        <f>IFERROR(INDEX(Productos!$H$5:$H$124,MATCH($C312,Productos!$A$5:$A$124,0)),"")</f>
        <v/>
      </c>
      <c r="H312" s="185" t="n">
        <v>0.03</v>
      </c>
      <c r="I312" s="68">
        <f>IFERROR($G312*(1-$H312),"")</f>
        <v/>
      </c>
      <c r="J312" s="182" t="inlineStr">
        <is>
          <t>Contado</t>
        </is>
      </c>
      <c r="K312" s="69">
        <f>IF($J312="",0,IF($J312="Contado",Inicio!$C$26,IF($J312="Tarjeta",Inicio!$C$27,IF($J312="Crédito propio",Inicio!$C$28,0))))</f>
        <v/>
      </c>
      <c r="L312" s="68">
        <f>IFERROR($F312*$I312,"")</f>
        <v/>
      </c>
      <c r="M312" s="68">
        <f>IFERROR($F312*INDEX(Productos!$G$5:$G$124,MATCH($C312,Productos!$A$5:$A$124,0)),"")</f>
        <v/>
      </c>
      <c r="N312" s="68">
        <f>IFERROR($L312*$K312,"")</f>
        <v/>
      </c>
      <c r="O312" s="68">
        <f>IFERROR($L312-$M312,"")</f>
        <v/>
      </c>
      <c r="P312" s="68">
        <f>IFERROR($O312-$N312,"")</f>
        <v/>
      </c>
      <c r="Q312" s="69">
        <f>IFERROR($P312/$L312,"")</f>
        <v/>
      </c>
    </row>
    <row r="313" ht="15" customHeight="1" s="47">
      <c r="A313" s="183" t="n">
        <v>46208</v>
      </c>
      <c r="B313" s="182" t="inlineStr">
        <is>
          <t>T01</t>
        </is>
      </c>
      <c r="C313" s="182" t="inlineStr">
        <is>
          <t>EL-013</t>
        </is>
      </c>
      <c r="D313" s="59">
        <f>IFERROR(INDEX(Productos!$B$5:$B$124,MATCH($C313,Productos!$A$5:$A$124,0)),"")</f>
        <v/>
      </c>
      <c r="E313" s="59">
        <f>IFERROR(INDEX(Productos!$D$5:$D$124,MATCH($C313,Productos!$A$5:$A$124,0)),"")</f>
        <v/>
      </c>
      <c r="F313" s="186" t="n">
        <v>1</v>
      </c>
      <c r="G313" s="68">
        <f>IFERROR(INDEX(Productos!$H$5:$H$124,MATCH($C313,Productos!$A$5:$A$124,0)),"")</f>
        <v/>
      </c>
      <c r="H313" s="185" t="n">
        <v>0</v>
      </c>
      <c r="I313" s="68">
        <f>IFERROR($G313*(1-$H313),"")</f>
        <v/>
      </c>
      <c r="J313" s="182" t="inlineStr">
        <is>
          <t>Tarjeta</t>
        </is>
      </c>
      <c r="K313" s="69">
        <f>IF($J313="",0,IF($J313="Contado",Inicio!$C$26,IF($J313="Tarjeta",Inicio!$C$27,IF($J313="Crédito propio",Inicio!$C$28,0))))</f>
        <v/>
      </c>
      <c r="L313" s="68">
        <f>IFERROR($F313*$I313,"")</f>
        <v/>
      </c>
      <c r="M313" s="68">
        <f>IFERROR($F313*INDEX(Productos!$G$5:$G$124,MATCH($C313,Productos!$A$5:$A$124,0)),"")</f>
        <v/>
      </c>
      <c r="N313" s="68">
        <f>IFERROR($L313*$K313,"")</f>
        <v/>
      </c>
      <c r="O313" s="68">
        <f>IFERROR($L313-$M313,"")</f>
        <v/>
      </c>
      <c r="P313" s="68">
        <f>IFERROR($O313-$N313,"")</f>
        <v/>
      </c>
      <c r="Q313" s="69">
        <f>IFERROR($P313/$L313,"")</f>
        <v/>
      </c>
    </row>
    <row r="314" ht="15" customHeight="1" s="47">
      <c r="A314" s="183" t="n">
        <v>46208</v>
      </c>
      <c r="B314" s="182" t="inlineStr">
        <is>
          <t>T01</t>
        </is>
      </c>
      <c r="C314" s="182" t="inlineStr">
        <is>
          <t>EL-016</t>
        </is>
      </c>
      <c r="D314" s="59">
        <f>IFERROR(INDEX(Productos!$B$5:$B$124,MATCH($C314,Productos!$A$5:$A$124,0)),"")</f>
        <v/>
      </c>
      <c r="E314" s="59">
        <f>IFERROR(INDEX(Productos!$D$5:$D$124,MATCH($C314,Productos!$A$5:$A$124,0)),"")</f>
        <v/>
      </c>
      <c r="F314" s="186" t="n">
        <v>1</v>
      </c>
      <c r="G314" s="68">
        <f>IFERROR(INDEX(Productos!$H$5:$H$124,MATCH($C314,Productos!$A$5:$A$124,0)),"")</f>
        <v/>
      </c>
      <c r="H314" s="185" t="n">
        <v>0.05</v>
      </c>
      <c r="I314" s="68">
        <f>IFERROR($G314*(1-$H314),"")</f>
        <v/>
      </c>
      <c r="J314" s="182" t="inlineStr">
        <is>
          <t>Crédito propio</t>
        </is>
      </c>
      <c r="K314" s="69">
        <f>IF($J314="",0,IF($J314="Contado",Inicio!$C$26,IF($J314="Tarjeta",Inicio!$C$27,IF($J314="Crédito propio",Inicio!$C$28,0))))</f>
        <v/>
      </c>
      <c r="L314" s="68">
        <f>IFERROR($F314*$I314,"")</f>
        <v/>
      </c>
      <c r="M314" s="68">
        <f>IFERROR($F314*INDEX(Productos!$G$5:$G$124,MATCH($C314,Productos!$A$5:$A$124,0)),"")</f>
        <v/>
      </c>
      <c r="N314" s="68">
        <f>IFERROR($L314*$K314,"")</f>
        <v/>
      </c>
      <c r="O314" s="68">
        <f>IFERROR($L314-$M314,"")</f>
        <v/>
      </c>
      <c r="P314" s="68">
        <f>IFERROR($O314-$N314,"")</f>
        <v/>
      </c>
      <c r="Q314" s="69">
        <f>IFERROR($P314/$L314,"")</f>
        <v/>
      </c>
    </row>
    <row r="315" ht="15" customHeight="1" s="47">
      <c r="A315" s="183" t="n">
        <v>46208</v>
      </c>
      <c r="B315" s="182" t="inlineStr">
        <is>
          <t>T01</t>
        </is>
      </c>
      <c r="C315" s="182" t="inlineStr">
        <is>
          <t>EL-018</t>
        </is>
      </c>
      <c r="D315" s="59">
        <f>IFERROR(INDEX(Productos!$B$5:$B$124,MATCH($C315,Productos!$A$5:$A$124,0)),"")</f>
        <v/>
      </c>
      <c r="E315" s="59">
        <f>IFERROR(INDEX(Productos!$D$5:$D$124,MATCH($C315,Productos!$A$5:$A$124,0)),"")</f>
        <v/>
      </c>
      <c r="F315" s="186" t="n">
        <v>1</v>
      </c>
      <c r="G315" s="68">
        <f>IFERROR(INDEX(Productos!$H$5:$H$124,MATCH($C315,Productos!$A$5:$A$124,0)),"")</f>
        <v/>
      </c>
      <c r="H315" s="185" t="n">
        <v>0</v>
      </c>
      <c r="I315" s="68">
        <f>IFERROR($G315*(1-$H315),"")</f>
        <v/>
      </c>
      <c r="J315" s="182" t="inlineStr">
        <is>
          <t>Crédito propio</t>
        </is>
      </c>
      <c r="K315" s="69">
        <f>IF($J315="",0,IF($J315="Contado",Inicio!$C$26,IF($J315="Tarjeta",Inicio!$C$27,IF($J315="Crédito propio",Inicio!$C$28,0))))</f>
        <v/>
      </c>
      <c r="L315" s="68">
        <f>IFERROR($F315*$I315,"")</f>
        <v/>
      </c>
      <c r="M315" s="68">
        <f>IFERROR($F315*INDEX(Productos!$G$5:$G$124,MATCH($C315,Productos!$A$5:$A$124,0)),"")</f>
        <v/>
      </c>
      <c r="N315" s="68">
        <f>IFERROR($L315*$K315,"")</f>
        <v/>
      </c>
      <c r="O315" s="68">
        <f>IFERROR($L315-$M315,"")</f>
        <v/>
      </c>
      <c r="P315" s="68">
        <f>IFERROR($O315-$N315,"")</f>
        <v/>
      </c>
      <c r="Q315" s="69">
        <f>IFERROR($P315/$L315,"")</f>
        <v/>
      </c>
    </row>
    <row r="316" ht="15" customHeight="1" s="47">
      <c r="A316" s="183" t="n">
        <v>46208</v>
      </c>
      <c r="B316" s="182" t="inlineStr">
        <is>
          <t>T01</t>
        </is>
      </c>
      <c r="C316" s="182" t="inlineStr">
        <is>
          <t>EL-019</t>
        </is>
      </c>
      <c r="D316" s="59">
        <f>IFERROR(INDEX(Productos!$B$5:$B$124,MATCH($C316,Productos!$A$5:$A$124,0)),"")</f>
        <v/>
      </c>
      <c r="E316" s="59">
        <f>IFERROR(INDEX(Productos!$D$5:$D$124,MATCH($C316,Productos!$A$5:$A$124,0)),"")</f>
        <v/>
      </c>
      <c r="F316" s="186" t="n">
        <v>1</v>
      </c>
      <c r="G316" s="68">
        <f>IFERROR(INDEX(Productos!$H$5:$H$124,MATCH($C316,Productos!$A$5:$A$124,0)),"")</f>
        <v/>
      </c>
      <c r="H316" s="185" t="n">
        <v>0</v>
      </c>
      <c r="I316" s="68">
        <f>IFERROR($G316*(1-$H316),"")</f>
        <v/>
      </c>
      <c r="J316" s="182" t="inlineStr">
        <is>
          <t>Crédito propio</t>
        </is>
      </c>
      <c r="K316" s="69">
        <f>IF($J316="",0,IF($J316="Contado",Inicio!$C$26,IF($J316="Tarjeta",Inicio!$C$27,IF($J316="Crédito propio",Inicio!$C$28,0))))</f>
        <v/>
      </c>
      <c r="L316" s="68">
        <f>IFERROR($F316*$I316,"")</f>
        <v/>
      </c>
      <c r="M316" s="68">
        <f>IFERROR($F316*INDEX(Productos!$G$5:$G$124,MATCH($C316,Productos!$A$5:$A$124,0)),"")</f>
        <v/>
      </c>
      <c r="N316" s="68">
        <f>IFERROR($L316*$K316,"")</f>
        <v/>
      </c>
      <c r="O316" s="68">
        <f>IFERROR($L316-$M316,"")</f>
        <v/>
      </c>
      <c r="P316" s="68">
        <f>IFERROR($O316-$N316,"")</f>
        <v/>
      </c>
      <c r="Q316" s="69">
        <f>IFERROR($P316/$L316,"")</f>
        <v/>
      </c>
    </row>
    <row r="317" ht="15" customHeight="1" s="47">
      <c r="A317" s="183" t="n">
        <v>46208</v>
      </c>
      <c r="B317" s="182" t="inlineStr">
        <is>
          <t>T01</t>
        </is>
      </c>
      <c r="C317" s="182" t="inlineStr">
        <is>
          <t>EL-020</t>
        </is>
      </c>
      <c r="D317" s="59">
        <f>IFERROR(INDEX(Productos!$B$5:$B$124,MATCH($C317,Productos!$A$5:$A$124,0)),"")</f>
        <v/>
      </c>
      <c r="E317" s="59">
        <f>IFERROR(INDEX(Productos!$D$5:$D$124,MATCH($C317,Productos!$A$5:$A$124,0)),"")</f>
        <v/>
      </c>
      <c r="F317" s="186" t="n">
        <v>1</v>
      </c>
      <c r="G317" s="68">
        <f>IFERROR(INDEX(Productos!$H$5:$H$124,MATCH($C317,Productos!$A$5:$A$124,0)),"")</f>
        <v/>
      </c>
      <c r="H317" s="185" t="n">
        <v>0.06896551724137934</v>
      </c>
      <c r="I317" s="68">
        <f>IFERROR($G317*(1-$H317),"")</f>
        <v/>
      </c>
      <c r="J317" s="182" t="inlineStr">
        <is>
          <t>Crédito propio</t>
        </is>
      </c>
      <c r="K317" s="69">
        <f>IF($J317="",0,IF($J317="Contado",Inicio!$C$26,IF($J317="Tarjeta",Inicio!$C$27,IF($J317="Crédito propio",Inicio!$C$28,0))))</f>
        <v/>
      </c>
      <c r="L317" s="68">
        <f>IFERROR($F317*$I317,"")</f>
        <v/>
      </c>
      <c r="M317" s="68">
        <f>IFERROR($F317*INDEX(Productos!$G$5:$G$124,MATCH($C317,Productos!$A$5:$A$124,0)),"")</f>
        <v/>
      </c>
      <c r="N317" s="68">
        <f>IFERROR($L317*$K317,"")</f>
        <v/>
      </c>
      <c r="O317" s="68">
        <f>IFERROR($L317-$M317,"")</f>
        <v/>
      </c>
      <c r="P317" s="68">
        <f>IFERROR($O317-$N317,"")</f>
        <v/>
      </c>
      <c r="Q317" s="69">
        <f>IFERROR($P317/$L317,"")</f>
        <v/>
      </c>
    </row>
    <row r="318" ht="15" customHeight="1" s="47">
      <c r="A318" s="183" t="n">
        <v>46208</v>
      </c>
      <c r="B318" s="182" t="inlineStr">
        <is>
          <t>T01</t>
        </is>
      </c>
      <c r="C318" s="182" t="inlineStr">
        <is>
          <t>EL-023</t>
        </is>
      </c>
      <c r="D318" s="59">
        <f>IFERROR(INDEX(Productos!$B$5:$B$124,MATCH($C318,Productos!$A$5:$A$124,0)),"")</f>
        <v/>
      </c>
      <c r="E318" s="59">
        <f>IFERROR(INDEX(Productos!$D$5:$D$124,MATCH($C318,Productos!$A$5:$A$124,0)),"")</f>
        <v/>
      </c>
      <c r="F318" s="186" t="n">
        <v>1</v>
      </c>
      <c r="G318" s="68">
        <f>IFERROR(INDEX(Productos!$H$5:$H$124,MATCH($C318,Productos!$A$5:$A$124,0)),"")</f>
        <v/>
      </c>
      <c r="H318" s="185" t="n">
        <v>0.06948640483383683</v>
      </c>
      <c r="I318" s="68">
        <f>IFERROR($G318*(1-$H318),"")</f>
        <v/>
      </c>
      <c r="J318" s="182" t="inlineStr">
        <is>
          <t>Tarjeta</t>
        </is>
      </c>
      <c r="K318" s="69">
        <f>IF($J318="",0,IF($J318="Contado",Inicio!$C$26,IF($J318="Tarjeta",Inicio!$C$27,IF($J318="Crédito propio",Inicio!$C$28,0))))</f>
        <v/>
      </c>
      <c r="L318" s="68">
        <f>IFERROR($F318*$I318,"")</f>
        <v/>
      </c>
      <c r="M318" s="68">
        <f>IFERROR($F318*INDEX(Productos!$G$5:$G$124,MATCH($C318,Productos!$A$5:$A$124,0)),"")</f>
        <v/>
      </c>
      <c r="N318" s="68">
        <f>IFERROR($L318*$K318,"")</f>
        <v/>
      </c>
      <c r="O318" s="68">
        <f>IFERROR($L318-$M318,"")</f>
        <v/>
      </c>
      <c r="P318" s="68">
        <f>IFERROR($O318-$N318,"")</f>
        <v/>
      </c>
      <c r="Q318" s="69">
        <f>IFERROR($P318/$L318,"")</f>
        <v/>
      </c>
    </row>
    <row r="319" ht="15" customHeight="1" s="47">
      <c r="A319" s="183" t="n">
        <v>46208</v>
      </c>
      <c r="B319" s="182" t="inlineStr">
        <is>
          <t>T01</t>
        </is>
      </c>
      <c r="C319" s="182" t="inlineStr">
        <is>
          <t>EL-024</t>
        </is>
      </c>
      <c r="D319" s="59">
        <f>IFERROR(INDEX(Productos!$B$5:$B$124,MATCH($C319,Productos!$A$5:$A$124,0)),"")</f>
        <v/>
      </c>
      <c r="E319" s="59">
        <f>IFERROR(INDEX(Productos!$D$5:$D$124,MATCH($C319,Productos!$A$5:$A$124,0)),"")</f>
        <v/>
      </c>
      <c r="F319" s="186" t="n">
        <v>2</v>
      </c>
      <c r="G319" s="68">
        <f>IFERROR(INDEX(Productos!$H$5:$H$124,MATCH($C319,Productos!$A$5:$A$124,0)),"")</f>
        <v/>
      </c>
      <c r="H319" s="185" t="n">
        <v>0.05</v>
      </c>
      <c r="I319" s="68">
        <f>IFERROR($G319*(1-$H319),"")</f>
        <v/>
      </c>
      <c r="J319" s="182" t="inlineStr">
        <is>
          <t>Tarjeta</t>
        </is>
      </c>
      <c r="K319" s="69">
        <f>IF($J319="",0,IF($J319="Contado",Inicio!$C$26,IF($J319="Tarjeta",Inicio!$C$27,IF($J319="Crédito propio",Inicio!$C$28,0))))</f>
        <v/>
      </c>
      <c r="L319" s="68">
        <f>IFERROR($F319*$I319,"")</f>
        <v/>
      </c>
      <c r="M319" s="68">
        <f>IFERROR($F319*INDEX(Productos!$G$5:$G$124,MATCH($C319,Productos!$A$5:$A$124,0)),"")</f>
        <v/>
      </c>
      <c r="N319" s="68">
        <f>IFERROR($L319*$K319,"")</f>
        <v/>
      </c>
      <c r="O319" s="68">
        <f>IFERROR($L319-$M319,"")</f>
        <v/>
      </c>
      <c r="P319" s="68">
        <f>IFERROR($O319-$N319,"")</f>
        <v/>
      </c>
      <c r="Q319" s="69">
        <f>IFERROR($P319/$L319,"")</f>
        <v/>
      </c>
    </row>
    <row r="320" ht="15" customHeight="1" s="47">
      <c r="A320" s="183" t="n">
        <v>46208</v>
      </c>
      <c r="B320" s="182" t="inlineStr">
        <is>
          <t>T01</t>
        </is>
      </c>
      <c r="C320" s="182" t="inlineStr">
        <is>
          <t>EL-025</t>
        </is>
      </c>
      <c r="D320" s="59">
        <f>IFERROR(INDEX(Productos!$B$5:$B$124,MATCH($C320,Productos!$A$5:$A$124,0)),"")</f>
        <v/>
      </c>
      <c r="E320" s="59">
        <f>IFERROR(INDEX(Productos!$D$5:$D$124,MATCH($C320,Productos!$A$5:$A$124,0)),"")</f>
        <v/>
      </c>
      <c r="F320" s="186" t="n">
        <v>1</v>
      </c>
      <c r="G320" s="68">
        <f>IFERROR(INDEX(Productos!$H$5:$H$124,MATCH($C320,Productos!$A$5:$A$124,0)),"")</f>
        <v/>
      </c>
      <c r="H320" s="185" t="n">
        <v>0.05</v>
      </c>
      <c r="I320" s="68">
        <f>IFERROR($G320*(1-$H320),"")</f>
        <v/>
      </c>
      <c r="J320" s="182" t="inlineStr">
        <is>
          <t>Contado</t>
        </is>
      </c>
      <c r="K320" s="69">
        <f>IF($J320="",0,IF($J320="Contado",Inicio!$C$26,IF($J320="Tarjeta",Inicio!$C$27,IF($J320="Crédito propio",Inicio!$C$28,0))))</f>
        <v/>
      </c>
      <c r="L320" s="68">
        <f>IFERROR($F320*$I320,"")</f>
        <v/>
      </c>
      <c r="M320" s="68">
        <f>IFERROR($F320*INDEX(Productos!$G$5:$G$124,MATCH($C320,Productos!$A$5:$A$124,0)),"")</f>
        <v/>
      </c>
      <c r="N320" s="68">
        <f>IFERROR($L320*$K320,"")</f>
        <v/>
      </c>
      <c r="O320" s="68">
        <f>IFERROR($L320-$M320,"")</f>
        <v/>
      </c>
      <c r="P320" s="68">
        <f>IFERROR($O320-$N320,"")</f>
        <v/>
      </c>
      <c r="Q320" s="69">
        <f>IFERROR($P320/$L320,"")</f>
        <v/>
      </c>
    </row>
    <row r="321" ht="15" customHeight="1" s="47">
      <c r="A321" s="183" t="n">
        <v>46208</v>
      </c>
      <c r="B321" s="182" t="inlineStr">
        <is>
          <t>T01</t>
        </is>
      </c>
      <c r="C321" s="182" t="inlineStr">
        <is>
          <t>EL-026</t>
        </is>
      </c>
      <c r="D321" s="59">
        <f>IFERROR(INDEX(Productos!$B$5:$B$124,MATCH($C321,Productos!$A$5:$A$124,0)),"")</f>
        <v/>
      </c>
      <c r="E321" s="59">
        <f>IFERROR(INDEX(Productos!$D$5:$D$124,MATCH($C321,Productos!$A$5:$A$124,0)),"")</f>
        <v/>
      </c>
      <c r="F321" s="186" t="n">
        <v>1</v>
      </c>
      <c r="G321" s="68">
        <f>IFERROR(INDEX(Productos!$H$5:$H$124,MATCH($C321,Productos!$A$5:$A$124,0)),"")</f>
        <v/>
      </c>
      <c r="H321" s="185" t="n">
        <v>0.06837606837606836</v>
      </c>
      <c r="I321" s="68">
        <f>IFERROR($G321*(1-$H321),"")</f>
        <v/>
      </c>
      <c r="J321" s="182" t="inlineStr">
        <is>
          <t>Tarjeta</t>
        </is>
      </c>
      <c r="K321" s="69">
        <f>IF($J321="",0,IF($J321="Contado",Inicio!$C$26,IF($J321="Tarjeta",Inicio!$C$27,IF($J321="Crédito propio",Inicio!$C$28,0))))</f>
        <v/>
      </c>
      <c r="L321" s="68">
        <f>IFERROR($F321*$I321,"")</f>
        <v/>
      </c>
      <c r="M321" s="68">
        <f>IFERROR($F321*INDEX(Productos!$G$5:$G$124,MATCH($C321,Productos!$A$5:$A$124,0)),"")</f>
        <v/>
      </c>
      <c r="N321" s="68">
        <f>IFERROR($L321*$K321,"")</f>
        <v/>
      </c>
      <c r="O321" s="68">
        <f>IFERROR($L321-$M321,"")</f>
        <v/>
      </c>
      <c r="P321" s="68">
        <f>IFERROR($O321-$N321,"")</f>
        <v/>
      </c>
      <c r="Q321" s="69">
        <f>IFERROR($P321/$L321,"")</f>
        <v/>
      </c>
    </row>
    <row r="322" ht="15" customHeight="1" s="47">
      <c r="A322" s="183" t="n">
        <v>46208</v>
      </c>
      <c r="B322" s="182" t="inlineStr">
        <is>
          <t>T01</t>
        </is>
      </c>
      <c r="C322" s="182" t="inlineStr">
        <is>
          <t>EL-029</t>
        </is>
      </c>
      <c r="D322" s="59">
        <f>IFERROR(INDEX(Productos!$B$5:$B$124,MATCH($C322,Productos!$A$5:$A$124,0)),"")</f>
        <v/>
      </c>
      <c r="E322" s="59">
        <f>IFERROR(INDEX(Productos!$D$5:$D$124,MATCH($C322,Productos!$A$5:$A$124,0)),"")</f>
        <v/>
      </c>
      <c r="F322" s="186" t="n">
        <v>1</v>
      </c>
      <c r="G322" s="68">
        <f>IFERROR(INDEX(Productos!$H$5:$H$124,MATCH($C322,Productos!$A$5:$A$124,0)),"")</f>
        <v/>
      </c>
      <c r="H322" s="185" t="n">
        <v>0.03</v>
      </c>
      <c r="I322" s="68">
        <f>IFERROR($G322*(1-$H322),"")</f>
        <v/>
      </c>
      <c r="J322" s="182" t="inlineStr">
        <is>
          <t>Tarjeta</t>
        </is>
      </c>
      <c r="K322" s="69">
        <f>IF($J322="",0,IF($J322="Contado",Inicio!$C$26,IF($J322="Tarjeta",Inicio!$C$27,IF($J322="Crédito propio",Inicio!$C$28,0))))</f>
        <v/>
      </c>
      <c r="L322" s="68">
        <f>IFERROR($F322*$I322,"")</f>
        <v/>
      </c>
      <c r="M322" s="68">
        <f>IFERROR($F322*INDEX(Productos!$G$5:$G$124,MATCH($C322,Productos!$A$5:$A$124,0)),"")</f>
        <v/>
      </c>
      <c r="N322" s="68">
        <f>IFERROR($L322*$K322,"")</f>
        <v/>
      </c>
      <c r="O322" s="68">
        <f>IFERROR($L322-$M322,"")</f>
        <v/>
      </c>
      <c r="P322" s="68">
        <f>IFERROR($O322-$N322,"")</f>
        <v/>
      </c>
      <c r="Q322" s="69">
        <f>IFERROR($P322/$L322,"")</f>
        <v/>
      </c>
    </row>
    <row r="323" ht="15" customHeight="1" s="47">
      <c r="A323" s="183" t="n">
        <v>46208</v>
      </c>
      <c r="B323" s="182" t="inlineStr">
        <is>
          <t>T01</t>
        </is>
      </c>
      <c r="C323" s="182" t="inlineStr">
        <is>
          <t>EL-030</t>
        </is>
      </c>
      <c r="D323" s="59">
        <f>IFERROR(INDEX(Productos!$B$5:$B$124,MATCH($C323,Productos!$A$5:$A$124,0)),"")</f>
        <v/>
      </c>
      <c r="E323" s="59">
        <f>IFERROR(INDEX(Productos!$D$5:$D$124,MATCH($C323,Productos!$A$5:$A$124,0)),"")</f>
        <v/>
      </c>
      <c r="F323" s="186" t="n">
        <v>2</v>
      </c>
      <c r="G323" s="68">
        <f>IFERROR(INDEX(Productos!$H$5:$H$124,MATCH($C323,Productos!$A$5:$A$124,0)),"")</f>
        <v/>
      </c>
      <c r="H323" s="185" t="n">
        <v>0</v>
      </c>
      <c r="I323" s="68">
        <f>IFERROR($G323*(1-$H323),"")</f>
        <v/>
      </c>
      <c r="J323" s="182" t="inlineStr">
        <is>
          <t>Contado</t>
        </is>
      </c>
      <c r="K323" s="69">
        <f>IF($J323="",0,IF($J323="Contado",Inicio!$C$26,IF($J323="Tarjeta",Inicio!$C$27,IF($J323="Crédito propio",Inicio!$C$28,0))))</f>
        <v/>
      </c>
      <c r="L323" s="68">
        <f>IFERROR($F323*$I323,"")</f>
        <v/>
      </c>
      <c r="M323" s="68">
        <f>IFERROR($F323*INDEX(Productos!$G$5:$G$124,MATCH($C323,Productos!$A$5:$A$124,0)),"")</f>
        <v/>
      </c>
      <c r="N323" s="68">
        <f>IFERROR($L323*$K323,"")</f>
        <v/>
      </c>
      <c r="O323" s="68">
        <f>IFERROR($L323-$M323,"")</f>
        <v/>
      </c>
      <c r="P323" s="68">
        <f>IFERROR($O323-$N323,"")</f>
        <v/>
      </c>
      <c r="Q323" s="69">
        <f>IFERROR($P323/$L323,"")</f>
        <v/>
      </c>
    </row>
    <row r="324" ht="15" customHeight="1" s="47">
      <c r="A324" s="183" t="n">
        <v>46208</v>
      </c>
      <c r="B324" s="182" t="inlineStr">
        <is>
          <t>T01</t>
        </is>
      </c>
      <c r="C324" s="182" t="inlineStr">
        <is>
          <t>EL-031</t>
        </is>
      </c>
      <c r="D324" s="59">
        <f>IFERROR(INDEX(Productos!$B$5:$B$124,MATCH($C324,Productos!$A$5:$A$124,0)),"")</f>
        <v/>
      </c>
      <c r="E324" s="59">
        <f>IFERROR(INDEX(Productos!$D$5:$D$124,MATCH($C324,Productos!$A$5:$A$124,0)),"")</f>
        <v/>
      </c>
      <c r="F324" s="186" t="n">
        <v>1</v>
      </c>
      <c r="G324" s="68">
        <f>IFERROR(INDEX(Productos!$H$5:$H$124,MATCH($C324,Productos!$A$5:$A$124,0)),"")</f>
        <v/>
      </c>
      <c r="H324" s="185" t="n">
        <v>0</v>
      </c>
      <c r="I324" s="68">
        <f>IFERROR($G324*(1-$H324),"")</f>
        <v/>
      </c>
      <c r="J324" s="182" t="inlineStr">
        <is>
          <t>Tarjeta</t>
        </is>
      </c>
      <c r="K324" s="69">
        <f>IF($J324="",0,IF($J324="Contado",Inicio!$C$26,IF($J324="Tarjeta",Inicio!$C$27,IF($J324="Crédito propio",Inicio!$C$28,0))))</f>
        <v/>
      </c>
      <c r="L324" s="68">
        <f>IFERROR($F324*$I324,"")</f>
        <v/>
      </c>
      <c r="M324" s="68">
        <f>IFERROR($F324*INDEX(Productos!$G$5:$G$124,MATCH($C324,Productos!$A$5:$A$124,0)),"")</f>
        <v/>
      </c>
      <c r="N324" s="68">
        <f>IFERROR($L324*$K324,"")</f>
        <v/>
      </c>
      <c r="O324" s="68">
        <f>IFERROR($L324-$M324,"")</f>
        <v/>
      </c>
      <c r="P324" s="68">
        <f>IFERROR($O324-$N324,"")</f>
        <v/>
      </c>
      <c r="Q324" s="69">
        <f>IFERROR($P324/$L324,"")</f>
        <v/>
      </c>
    </row>
    <row r="325" ht="15" customHeight="1" s="47">
      <c r="A325" s="183" t="n">
        <v>46208</v>
      </c>
      <c r="B325" s="182" t="inlineStr">
        <is>
          <t>T01</t>
        </is>
      </c>
      <c r="C325" s="182" t="inlineStr">
        <is>
          <t>EL-034</t>
        </is>
      </c>
      <c r="D325" s="59">
        <f>IFERROR(INDEX(Productos!$B$5:$B$124,MATCH($C325,Productos!$A$5:$A$124,0)),"")</f>
        <v/>
      </c>
      <c r="E325" s="59">
        <f>IFERROR(INDEX(Productos!$D$5:$D$124,MATCH($C325,Productos!$A$5:$A$124,0)),"")</f>
        <v/>
      </c>
      <c r="F325" s="186" t="n">
        <v>1</v>
      </c>
      <c r="G325" s="68">
        <f>IFERROR(INDEX(Productos!$H$5:$H$124,MATCH($C325,Productos!$A$5:$A$124,0)),"")</f>
        <v/>
      </c>
      <c r="H325" s="185" t="n">
        <v>0</v>
      </c>
      <c r="I325" s="68">
        <f>IFERROR($G325*(1-$H325),"")</f>
        <v/>
      </c>
      <c r="J325" s="182" t="inlineStr">
        <is>
          <t>Tarjeta</t>
        </is>
      </c>
      <c r="K325" s="69">
        <f>IF($J325="",0,IF($J325="Contado",Inicio!$C$26,IF($J325="Tarjeta",Inicio!$C$27,IF($J325="Crédito propio",Inicio!$C$28,0))))</f>
        <v/>
      </c>
      <c r="L325" s="68">
        <f>IFERROR($F325*$I325,"")</f>
        <v/>
      </c>
      <c r="M325" s="68">
        <f>IFERROR($F325*INDEX(Productos!$G$5:$G$124,MATCH($C325,Productos!$A$5:$A$124,0)),"")</f>
        <v/>
      </c>
      <c r="N325" s="68">
        <f>IFERROR($L325*$K325,"")</f>
        <v/>
      </c>
      <c r="O325" s="68">
        <f>IFERROR($L325-$M325,"")</f>
        <v/>
      </c>
      <c r="P325" s="68">
        <f>IFERROR($O325-$N325,"")</f>
        <v/>
      </c>
      <c r="Q325" s="69">
        <f>IFERROR($P325/$L325,"")</f>
        <v/>
      </c>
    </row>
    <row r="326" ht="15" customHeight="1" s="47">
      <c r="A326" s="183" t="n">
        <v>46208</v>
      </c>
      <c r="B326" s="182" t="inlineStr">
        <is>
          <t>T01</t>
        </is>
      </c>
      <c r="C326" s="182" t="inlineStr">
        <is>
          <t>EL-036</t>
        </is>
      </c>
      <c r="D326" s="59">
        <f>IFERROR(INDEX(Productos!$B$5:$B$124,MATCH($C326,Productos!$A$5:$A$124,0)),"")</f>
        <v/>
      </c>
      <c r="E326" s="59">
        <f>IFERROR(INDEX(Productos!$D$5:$D$124,MATCH($C326,Productos!$A$5:$A$124,0)),"")</f>
        <v/>
      </c>
      <c r="F326" s="186" t="n">
        <v>1</v>
      </c>
      <c r="G326" s="68">
        <f>IFERROR(INDEX(Productos!$H$5:$H$124,MATCH($C326,Productos!$A$5:$A$124,0)),"")</f>
        <v/>
      </c>
      <c r="H326" s="185" t="n">
        <v>0.05</v>
      </c>
      <c r="I326" s="68">
        <f>IFERROR($G326*(1-$H326),"")</f>
        <v/>
      </c>
      <c r="J326" s="182" t="inlineStr">
        <is>
          <t>Tarjeta</t>
        </is>
      </c>
      <c r="K326" s="69">
        <f>IF($J326="",0,IF($J326="Contado",Inicio!$C$26,IF($J326="Tarjeta",Inicio!$C$27,IF($J326="Crédito propio",Inicio!$C$28,0))))</f>
        <v/>
      </c>
      <c r="L326" s="68">
        <f>IFERROR($F326*$I326,"")</f>
        <v/>
      </c>
      <c r="M326" s="68">
        <f>IFERROR($F326*INDEX(Productos!$G$5:$G$124,MATCH($C326,Productos!$A$5:$A$124,0)),"")</f>
        <v/>
      </c>
      <c r="N326" s="68">
        <f>IFERROR($L326*$K326,"")</f>
        <v/>
      </c>
      <c r="O326" s="68">
        <f>IFERROR($L326-$M326,"")</f>
        <v/>
      </c>
      <c r="P326" s="68">
        <f>IFERROR($O326-$N326,"")</f>
        <v/>
      </c>
      <c r="Q326" s="69">
        <f>IFERROR($P326/$L326,"")</f>
        <v/>
      </c>
    </row>
    <row r="327" ht="15" customHeight="1" s="47">
      <c r="A327" s="183" t="n">
        <v>46208</v>
      </c>
      <c r="B327" s="182" t="inlineStr">
        <is>
          <t>T01</t>
        </is>
      </c>
      <c r="C327" s="182" t="inlineStr">
        <is>
          <t>EL-039</t>
        </is>
      </c>
      <c r="D327" s="59">
        <f>IFERROR(INDEX(Productos!$B$5:$B$124,MATCH($C327,Productos!$A$5:$A$124,0)),"")</f>
        <v/>
      </c>
      <c r="E327" s="59">
        <f>IFERROR(INDEX(Productos!$D$5:$D$124,MATCH($C327,Productos!$A$5:$A$124,0)),"")</f>
        <v/>
      </c>
      <c r="F327" s="186" t="n">
        <v>1</v>
      </c>
      <c r="G327" s="68">
        <f>IFERROR(INDEX(Productos!$H$5:$H$124,MATCH($C327,Productos!$A$5:$A$124,0)),"")</f>
        <v/>
      </c>
      <c r="H327" s="185" t="n">
        <v>0</v>
      </c>
      <c r="I327" s="68">
        <f>IFERROR($G327*(1-$H327),"")</f>
        <v/>
      </c>
      <c r="J327" s="182" t="inlineStr">
        <is>
          <t>Tarjeta</t>
        </is>
      </c>
      <c r="K327" s="69">
        <f>IF($J327="",0,IF($J327="Contado",Inicio!$C$26,IF($J327="Tarjeta",Inicio!$C$27,IF($J327="Crédito propio",Inicio!$C$28,0))))</f>
        <v/>
      </c>
      <c r="L327" s="68">
        <f>IFERROR($F327*$I327,"")</f>
        <v/>
      </c>
      <c r="M327" s="68">
        <f>IFERROR($F327*INDEX(Productos!$G$5:$G$124,MATCH($C327,Productos!$A$5:$A$124,0)),"")</f>
        <v/>
      </c>
      <c r="N327" s="68">
        <f>IFERROR($L327*$K327,"")</f>
        <v/>
      </c>
      <c r="O327" s="68">
        <f>IFERROR($L327-$M327,"")</f>
        <v/>
      </c>
      <c r="P327" s="68">
        <f>IFERROR($O327-$N327,"")</f>
        <v/>
      </c>
      <c r="Q327" s="69">
        <f>IFERROR($P327/$L327,"")</f>
        <v/>
      </c>
    </row>
    <row r="328" ht="15" customHeight="1" s="47">
      <c r="A328" s="183" t="n">
        <v>46208</v>
      </c>
      <c r="B328" s="182" t="inlineStr">
        <is>
          <t>T01</t>
        </is>
      </c>
      <c r="C328" s="182" t="inlineStr">
        <is>
          <t>EL-041</t>
        </is>
      </c>
      <c r="D328" s="59">
        <f>IFERROR(INDEX(Productos!$B$5:$B$124,MATCH($C328,Productos!$A$5:$A$124,0)),"")</f>
        <v/>
      </c>
      <c r="E328" s="59">
        <f>IFERROR(INDEX(Productos!$D$5:$D$124,MATCH($C328,Productos!$A$5:$A$124,0)),"")</f>
        <v/>
      </c>
      <c r="F328" s="186" t="n">
        <v>1</v>
      </c>
      <c r="G328" s="68">
        <f>IFERROR(INDEX(Productos!$H$5:$H$124,MATCH($C328,Productos!$A$5:$A$124,0)),"")</f>
        <v/>
      </c>
      <c r="H328" s="185" t="n">
        <v>0.03</v>
      </c>
      <c r="I328" s="68">
        <f>IFERROR($G328*(1-$H328),"")</f>
        <v/>
      </c>
      <c r="J328" s="182" t="inlineStr">
        <is>
          <t>Tarjeta</t>
        </is>
      </c>
      <c r="K328" s="69">
        <f>IF($J328="",0,IF($J328="Contado",Inicio!$C$26,IF($J328="Tarjeta",Inicio!$C$27,IF($J328="Crédito propio",Inicio!$C$28,0))))</f>
        <v/>
      </c>
      <c r="L328" s="68">
        <f>IFERROR($F328*$I328,"")</f>
        <v/>
      </c>
      <c r="M328" s="68">
        <f>IFERROR($F328*INDEX(Productos!$G$5:$G$124,MATCH($C328,Productos!$A$5:$A$124,0)),"")</f>
        <v/>
      </c>
      <c r="N328" s="68">
        <f>IFERROR($L328*$K328,"")</f>
        <v/>
      </c>
      <c r="O328" s="68">
        <f>IFERROR($L328-$M328,"")</f>
        <v/>
      </c>
      <c r="P328" s="68">
        <f>IFERROR($O328-$N328,"")</f>
        <v/>
      </c>
      <c r="Q328" s="69">
        <f>IFERROR($P328/$L328,"")</f>
        <v/>
      </c>
    </row>
    <row r="329" ht="15" customHeight="1" s="47">
      <c r="A329" s="183" t="n">
        <v>46208</v>
      </c>
      <c r="B329" s="182" t="inlineStr">
        <is>
          <t>T01</t>
        </is>
      </c>
      <c r="C329" s="182" t="inlineStr">
        <is>
          <t>EL-043</t>
        </is>
      </c>
      <c r="D329" s="59">
        <f>IFERROR(INDEX(Productos!$B$5:$B$124,MATCH($C329,Productos!$A$5:$A$124,0)),"")</f>
        <v/>
      </c>
      <c r="E329" s="59">
        <f>IFERROR(INDEX(Productos!$D$5:$D$124,MATCH($C329,Productos!$A$5:$A$124,0)),"")</f>
        <v/>
      </c>
      <c r="F329" s="186" t="n">
        <v>1</v>
      </c>
      <c r="G329" s="68">
        <f>IFERROR(INDEX(Productos!$H$5:$H$124,MATCH($C329,Productos!$A$5:$A$124,0)),"")</f>
        <v/>
      </c>
      <c r="H329" s="185" t="n">
        <v>0.03</v>
      </c>
      <c r="I329" s="68">
        <f>IFERROR($G329*(1-$H329),"")</f>
        <v/>
      </c>
      <c r="J329" s="182" t="inlineStr">
        <is>
          <t>Contado</t>
        </is>
      </c>
      <c r="K329" s="69">
        <f>IF($J329="",0,IF($J329="Contado",Inicio!$C$26,IF($J329="Tarjeta",Inicio!$C$27,IF($J329="Crédito propio",Inicio!$C$28,0))))</f>
        <v/>
      </c>
      <c r="L329" s="68">
        <f>IFERROR($F329*$I329,"")</f>
        <v/>
      </c>
      <c r="M329" s="68">
        <f>IFERROR($F329*INDEX(Productos!$G$5:$G$124,MATCH($C329,Productos!$A$5:$A$124,0)),"")</f>
        <v/>
      </c>
      <c r="N329" s="68">
        <f>IFERROR($L329*$K329,"")</f>
        <v/>
      </c>
      <c r="O329" s="68">
        <f>IFERROR($L329-$M329,"")</f>
        <v/>
      </c>
      <c r="P329" s="68">
        <f>IFERROR($O329-$N329,"")</f>
        <v/>
      </c>
      <c r="Q329" s="69">
        <f>IFERROR($P329/$L329,"")</f>
        <v/>
      </c>
    </row>
    <row r="330" ht="15" customHeight="1" s="47">
      <c r="A330" s="183" t="n">
        <v>46208</v>
      </c>
      <c r="B330" s="182" t="inlineStr">
        <is>
          <t>T01</t>
        </is>
      </c>
      <c r="C330" s="182" t="inlineStr">
        <is>
          <t>EL-044</t>
        </is>
      </c>
      <c r="D330" s="59">
        <f>IFERROR(INDEX(Productos!$B$5:$B$124,MATCH($C330,Productos!$A$5:$A$124,0)),"")</f>
        <v/>
      </c>
      <c r="E330" s="59">
        <f>IFERROR(INDEX(Productos!$D$5:$D$124,MATCH($C330,Productos!$A$5:$A$124,0)),"")</f>
        <v/>
      </c>
      <c r="F330" s="186" t="n">
        <v>1</v>
      </c>
      <c r="G330" s="68">
        <f>IFERROR(INDEX(Productos!$H$5:$H$124,MATCH($C330,Productos!$A$5:$A$124,0)),"")</f>
        <v/>
      </c>
      <c r="H330" s="185" t="n">
        <v>0</v>
      </c>
      <c r="I330" s="68">
        <f>IFERROR($G330*(1-$H330),"")</f>
        <v/>
      </c>
      <c r="J330" s="182" t="inlineStr">
        <is>
          <t>Tarjeta</t>
        </is>
      </c>
      <c r="K330" s="69">
        <f>IF($J330="",0,IF($J330="Contado",Inicio!$C$26,IF($J330="Tarjeta",Inicio!$C$27,IF($J330="Crédito propio",Inicio!$C$28,0))))</f>
        <v/>
      </c>
      <c r="L330" s="68">
        <f>IFERROR($F330*$I330,"")</f>
        <v/>
      </c>
      <c r="M330" s="68">
        <f>IFERROR($F330*INDEX(Productos!$G$5:$G$124,MATCH($C330,Productos!$A$5:$A$124,0)),"")</f>
        <v/>
      </c>
      <c r="N330" s="68">
        <f>IFERROR($L330*$K330,"")</f>
        <v/>
      </c>
      <c r="O330" s="68">
        <f>IFERROR($L330-$M330,"")</f>
        <v/>
      </c>
      <c r="P330" s="68">
        <f>IFERROR($O330-$N330,"")</f>
        <v/>
      </c>
      <c r="Q330" s="69">
        <f>IFERROR($P330/$L330,"")</f>
        <v/>
      </c>
    </row>
    <row r="331" ht="15" customHeight="1" s="47">
      <c r="A331" s="183" t="n">
        <v>46208</v>
      </c>
      <c r="B331" s="182" t="inlineStr">
        <is>
          <t>T01</t>
        </is>
      </c>
      <c r="C331" s="182" t="inlineStr">
        <is>
          <t>EL-046</t>
        </is>
      </c>
      <c r="D331" s="59">
        <f>IFERROR(INDEX(Productos!$B$5:$B$124,MATCH($C331,Productos!$A$5:$A$124,0)),"")</f>
        <v/>
      </c>
      <c r="E331" s="59">
        <f>IFERROR(INDEX(Productos!$D$5:$D$124,MATCH($C331,Productos!$A$5:$A$124,0)),"")</f>
        <v/>
      </c>
      <c r="F331" s="186" t="n">
        <v>1</v>
      </c>
      <c r="G331" s="68">
        <f>IFERROR(INDEX(Productos!$H$5:$H$124,MATCH($C331,Productos!$A$5:$A$124,0)),"")</f>
        <v/>
      </c>
      <c r="H331" s="185" t="n">
        <v>0.03</v>
      </c>
      <c r="I331" s="68">
        <f>IFERROR($G331*(1-$H331),"")</f>
        <v/>
      </c>
      <c r="J331" s="182" t="inlineStr">
        <is>
          <t>Tarjeta</t>
        </is>
      </c>
      <c r="K331" s="69">
        <f>IF($J331="",0,IF($J331="Contado",Inicio!$C$26,IF($J331="Tarjeta",Inicio!$C$27,IF($J331="Crédito propio",Inicio!$C$28,0))))</f>
        <v/>
      </c>
      <c r="L331" s="68">
        <f>IFERROR($F331*$I331,"")</f>
        <v/>
      </c>
      <c r="M331" s="68">
        <f>IFERROR($F331*INDEX(Productos!$G$5:$G$124,MATCH($C331,Productos!$A$5:$A$124,0)),"")</f>
        <v/>
      </c>
      <c r="N331" s="68">
        <f>IFERROR($L331*$K331,"")</f>
        <v/>
      </c>
      <c r="O331" s="68">
        <f>IFERROR($L331-$M331,"")</f>
        <v/>
      </c>
      <c r="P331" s="68">
        <f>IFERROR($O331-$N331,"")</f>
        <v/>
      </c>
      <c r="Q331" s="69">
        <f>IFERROR($P331/$L331,"")</f>
        <v/>
      </c>
    </row>
    <row r="332" ht="15" customHeight="1" s="47">
      <c r="A332" s="183" t="n">
        <v>46208</v>
      </c>
      <c r="B332" s="182" t="inlineStr">
        <is>
          <t>T01</t>
        </is>
      </c>
      <c r="C332" s="182" t="inlineStr">
        <is>
          <t>EL-047</t>
        </is>
      </c>
      <c r="D332" s="59">
        <f>IFERROR(INDEX(Productos!$B$5:$B$124,MATCH($C332,Productos!$A$5:$A$124,0)),"")</f>
        <v/>
      </c>
      <c r="E332" s="59">
        <f>IFERROR(INDEX(Productos!$D$5:$D$124,MATCH($C332,Productos!$A$5:$A$124,0)),"")</f>
        <v/>
      </c>
      <c r="F332" s="186" t="n">
        <v>1</v>
      </c>
      <c r="G332" s="68">
        <f>IFERROR(INDEX(Productos!$H$5:$H$124,MATCH($C332,Productos!$A$5:$A$124,0)),"")</f>
        <v/>
      </c>
      <c r="H332" s="185" t="n">
        <v>0.06493506493506496</v>
      </c>
      <c r="I332" s="68">
        <f>IFERROR($G332*(1-$H332),"")</f>
        <v/>
      </c>
      <c r="J332" s="182" t="inlineStr">
        <is>
          <t>Crédito propio</t>
        </is>
      </c>
      <c r="K332" s="69">
        <f>IF($J332="",0,IF($J332="Contado",Inicio!$C$26,IF($J332="Tarjeta",Inicio!$C$27,IF($J332="Crédito propio",Inicio!$C$28,0))))</f>
        <v/>
      </c>
      <c r="L332" s="68">
        <f>IFERROR($F332*$I332,"")</f>
        <v/>
      </c>
      <c r="M332" s="68">
        <f>IFERROR($F332*INDEX(Productos!$G$5:$G$124,MATCH($C332,Productos!$A$5:$A$124,0)),"")</f>
        <v/>
      </c>
      <c r="N332" s="68">
        <f>IFERROR($L332*$K332,"")</f>
        <v/>
      </c>
      <c r="O332" s="68">
        <f>IFERROR($L332-$M332,"")</f>
        <v/>
      </c>
      <c r="P332" s="68">
        <f>IFERROR($O332-$N332,"")</f>
        <v/>
      </c>
      <c r="Q332" s="69">
        <f>IFERROR($P332/$L332,"")</f>
        <v/>
      </c>
    </row>
    <row r="333" ht="15" customHeight="1" s="47">
      <c r="A333" s="183" t="n">
        <v>46208</v>
      </c>
      <c r="B333" s="182" t="inlineStr">
        <is>
          <t>T01</t>
        </is>
      </c>
      <c r="C333" s="182" t="inlineStr">
        <is>
          <t>EL-048</t>
        </is>
      </c>
      <c r="D333" s="59">
        <f>IFERROR(INDEX(Productos!$B$5:$B$124,MATCH($C333,Productos!$A$5:$A$124,0)),"")</f>
        <v/>
      </c>
      <c r="E333" s="59">
        <f>IFERROR(INDEX(Productos!$D$5:$D$124,MATCH($C333,Productos!$A$5:$A$124,0)),"")</f>
        <v/>
      </c>
      <c r="F333" s="186" t="n">
        <v>1</v>
      </c>
      <c r="G333" s="68">
        <f>IFERROR(INDEX(Productos!$H$5:$H$124,MATCH($C333,Productos!$A$5:$A$124,0)),"")</f>
        <v/>
      </c>
      <c r="H333" s="185" t="n">
        <v>0.05</v>
      </c>
      <c r="I333" s="68">
        <f>IFERROR($G333*(1-$H333),"")</f>
        <v/>
      </c>
      <c r="J333" s="182" t="inlineStr">
        <is>
          <t>Contado</t>
        </is>
      </c>
      <c r="K333" s="69">
        <f>IF($J333="",0,IF($J333="Contado",Inicio!$C$26,IF($J333="Tarjeta",Inicio!$C$27,IF($J333="Crédito propio",Inicio!$C$28,0))))</f>
        <v/>
      </c>
      <c r="L333" s="68">
        <f>IFERROR($F333*$I333,"")</f>
        <v/>
      </c>
      <c r="M333" s="68">
        <f>IFERROR($F333*INDEX(Productos!$G$5:$G$124,MATCH($C333,Productos!$A$5:$A$124,0)),"")</f>
        <v/>
      </c>
      <c r="N333" s="68">
        <f>IFERROR($L333*$K333,"")</f>
        <v/>
      </c>
      <c r="O333" s="68">
        <f>IFERROR($L333-$M333,"")</f>
        <v/>
      </c>
      <c r="P333" s="68">
        <f>IFERROR($O333-$N333,"")</f>
        <v/>
      </c>
      <c r="Q333" s="69">
        <f>IFERROR($P333/$L333,"")</f>
        <v/>
      </c>
    </row>
    <row r="334" ht="15" customHeight="1" s="47">
      <c r="A334" s="183" t="n">
        <v>46208</v>
      </c>
      <c r="B334" s="182" t="inlineStr">
        <is>
          <t>T01</t>
        </is>
      </c>
      <c r="C334" s="182" t="inlineStr">
        <is>
          <t>EL-049</t>
        </is>
      </c>
      <c r="D334" s="59">
        <f>IFERROR(INDEX(Productos!$B$5:$B$124,MATCH($C334,Productos!$A$5:$A$124,0)),"")</f>
        <v/>
      </c>
      <c r="E334" s="59">
        <f>IFERROR(INDEX(Productos!$D$5:$D$124,MATCH($C334,Productos!$A$5:$A$124,0)),"")</f>
        <v/>
      </c>
      <c r="F334" s="186" t="n">
        <v>1</v>
      </c>
      <c r="G334" s="68">
        <f>IFERROR(INDEX(Productos!$H$5:$H$124,MATCH($C334,Productos!$A$5:$A$124,0)),"")</f>
        <v/>
      </c>
      <c r="H334" s="185" t="n">
        <v>0</v>
      </c>
      <c r="I334" s="68">
        <f>IFERROR($G334*(1-$H334),"")</f>
        <v/>
      </c>
      <c r="J334" s="182" t="inlineStr">
        <is>
          <t>Contado</t>
        </is>
      </c>
      <c r="K334" s="69">
        <f>IF($J334="",0,IF($J334="Contado",Inicio!$C$26,IF($J334="Tarjeta",Inicio!$C$27,IF($J334="Crédito propio",Inicio!$C$28,0))))</f>
        <v/>
      </c>
      <c r="L334" s="68">
        <f>IFERROR($F334*$I334,"")</f>
        <v/>
      </c>
      <c r="M334" s="68">
        <f>IFERROR($F334*INDEX(Productos!$G$5:$G$124,MATCH($C334,Productos!$A$5:$A$124,0)),"")</f>
        <v/>
      </c>
      <c r="N334" s="68">
        <f>IFERROR($L334*$K334,"")</f>
        <v/>
      </c>
      <c r="O334" s="68">
        <f>IFERROR($L334-$M334,"")</f>
        <v/>
      </c>
      <c r="P334" s="68">
        <f>IFERROR($O334-$N334,"")</f>
        <v/>
      </c>
      <c r="Q334" s="69">
        <f>IFERROR($P334/$L334,"")</f>
        <v/>
      </c>
    </row>
    <row r="335" ht="15" customHeight="1" s="47">
      <c r="A335" s="183" t="n">
        <v>46208</v>
      </c>
      <c r="B335" s="182" t="inlineStr">
        <is>
          <t>T01</t>
        </is>
      </c>
      <c r="C335" s="182" t="inlineStr">
        <is>
          <t>EL-050</t>
        </is>
      </c>
      <c r="D335" s="59">
        <f>IFERROR(INDEX(Productos!$B$5:$B$124,MATCH($C335,Productos!$A$5:$A$124,0)),"")</f>
        <v/>
      </c>
      <c r="E335" s="59">
        <f>IFERROR(INDEX(Productos!$D$5:$D$124,MATCH($C335,Productos!$A$5:$A$124,0)),"")</f>
        <v/>
      </c>
      <c r="F335" s="186" t="n">
        <v>1</v>
      </c>
      <c r="G335" s="68">
        <f>IFERROR(INDEX(Productos!$H$5:$H$124,MATCH($C335,Productos!$A$5:$A$124,0)),"")</f>
        <v/>
      </c>
      <c r="H335" s="185" t="n">
        <v>0.03</v>
      </c>
      <c r="I335" s="68">
        <f>IFERROR($G335*(1-$H335),"")</f>
        <v/>
      </c>
      <c r="J335" s="182" t="inlineStr">
        <is>
          <t>Contado</t>
        </is>
      </c>
      <c r="K335" s="69">
        <f>IF($J335="",0,IF($J335="Contado",Inicio!$C$26,IF($J335="Tarjeta",Inicio!$C$27,IF($J335="Crédito propio",Inicio!$C$28,0))))</f>
        <v/>
      </c>
      <c r="L335" s="68">
        <f>IFERROR($F335*$I335,"")</f>
        <v/>
      </c>
      <c r="M335" s="68">
        <f>IFERROR($F335*INDEX(Productos!$G$5:$G$124,MATCH($C335,Productos!$A$5:$A$124,0)),"")</f>
        <v/>
      </c>
      <c r="N335" s="68">
        <f>IFERROR($L335*$K335,"")</f>
        <v/>
      </c>
      <c r="O335" s="68">
        <f>IFERROR($L335-$M335,"")</f>
        <v/>
      </c>
      <c r="P335" s="68">
        <f>IFERROR($O335-$N335,"")</f>
        <v/>
      </c>
      <c r="Q335" s="69">
        <f>IFERROR($P335/$L335,"")</f>
        <v/>
      </c>
    </row>
    <row r="336" ht="15" customHeight="1" s="47">
      <c r="A336" s="183" t="n">
        <v>46208</v>
      </c>
      <c r="B336" s="182" t="inlineStr">
        <is>
          <t>T02</t>
        </is>
      </c>
      <c r="C336" s="182" t="inlineStr">
        <is>
          <t>EL-006</t>
        </is>
      </c>
      <c r="D336" s="59">
        <f>IFERROR(INDEX(Productos!$B$5:$B$124,MATCH($C336,Productos!$A$5:$A$124,0)),"")</f>
        <v/>
      </c>
      <c r="E336" s="59">
        <f>IFERROR(INDEX(Productos!$D$5:$D$124,MATCH($C336,Productos!$A$5:$A$124,0)),"")</f>
        <v/>
      </c>
      <c r="F336" s="186" t="n">
        <v>1</v>
      </c>
      <c r="G336" s="68">
        <f>IFERROR(INDEX(Productos!$H$5:$H$124,MATCH($C336,Productos!$A$5:$A$124,0)),"")</f>
        <v/>
      </c>
      <c r="H336" s="185" t="n">
        <v>0</v>
      </c>
      <c r="I336" s="68">
        <f>IFERROR($G336*(1-$H336),"")</f>
        <v/>
      </c>
      <c r="J336" s="182" t="inlineStr">
        <is>
          <t>Tarjeta</t>
        </is>
      </c>
      <c r="K336" s="69">
        <f>IF($J336="",0,IF($J336="Contado",Inicio!$C$26,IF($J336="Tarjeta",Inicio!$C$27,IF($J336="Crédito propio",Inicio!$C$28,0))))</f>
        <v/>
      </c>
      <c r="L336" s="68">
        <f>IFERROR($F336*$I336,"")</f>
        <v/>
      </c>
      <c r="M336" s="68">
        <f>IFERROR($F336*INDEX(Productos!$G$5:$G$124,MATCH($C336,Productos!$A$5:$A$124,0)),"")</f>
        <v/>
      </c>
      <c r="N336" s="68">
        <f>IFERROR($L336*$K336,"")</f>
        <v/>
      </c>
      <c r="O336" s="68">
        <f>IFERROR($L336-$M336,"")</f>
        <v/>
      </c>
      <c r="P336" s="68">
        <f>IFERROR($O336-$N336,"")</f>
        <v/>
      </c>
      <c r="Q336" s="69">
        <f>IFERROR($P336/$L336,"")</f>
        <v/>
      </c>
    </row>
    <row r="337" ht="15" customHeight="1" s="47">
      <c r="A337" s="183" t="n">
        <v>46208</v>
      </c>
      <c r="B337" s="182" t="inlineStr">
        <is>
          <t>T02</t>
        </is>
      </c>
      <c r="C337" s="182" t="inlineStr">
        <is>
          <t>EL-007</t>
        </is>
      </c>
      <c r="D337" s="59">
        <f>IFERROR(INDEX(Productos!$B$5:$B$124,MATCH($C337,Productos!$A$5:$A$124,0)),"")</f>
        <v/>
      </c>
      <c r="E337" s="59">
        <f>IFERROR(INDEX(Productos!$D$5:$D$124,MATCH($C337,Productos!$A$5:$A$124,0)),"")</f>
        <v/>
      </c>
      <c r="F337" s="186" t="n">
        <v>2</v>
      </c>
      <c r="G337" s="68">
        <f>IFERROR(INDEX(Productos!$H$5:$H$124,MATCH($C337,Productos!$A$5:$A$124,0)),"")</f>
        <v/>
      </c>
      <c r="H337" s="185" t="n">
        <v>0.06951871657754005</v>
      </c>
      <c r="I337" s="68">
        <f>IFERROR($G337*(1-$H337),"")</f>
        <v/>
      </c>
      <c r="J337" s="182" t="inlineStr">
        <is>
          <t>Contado</t>
        </is>
      </c>
      <c r="K337" s="69">
        <f>IF($J337="",0,IF($J337="Contado",Inicio!$C$26,IF($J337="Tarjeta",Inicio!$C$27,IF($J337="Crédito propio",Inicio!$C$28,0))))</f>
        <v/>
      </c>
      <c r="L337" s="68">
        <f>IFERROR($F337*$I337,"")</f>
        <v/>
      </c>
      <c r="M337" s="68">
        <f>IFERROR($F337*INDEX(Productos!$G$5:$G$124,MATCH($C337,Productos!$A$5:$A$124,0)),"")</f>
        <v/>
      </c>
      <c r="N337" s="68">
        <f>IFERROR($L337*$K337,"")</f>
        <v/>
      </c>
      <c r="O337" s="68">
        <f>IFERROR($L337-$M337,"")</f>
        <v/>
      </c>
      <c r="P337" s="68">
        <f>IFERROR($O337-$N337,"")</f>
        <v/>
      </c>
      <c r="Q337" s="69">
        <f>IFERROR($P337/$L337,"")</f>
        <v/>
      </c>
    </row>
    <row r="338" ht="15" customHeight="1" s="47">
      <c r="A338" s="183" t="n">
        <v>46208</v>
      </c>
      <c r="B338" s="182" t="inlineStr">
        <is>
          <t>T02</t>
        </is>
      </c>
      <c r="C338" s="182" t="inlineStr">
        <is>
          <t>EL-010</t>
        </is>
      </c>
      <c r="D338" s="59">
        <f>IFERROR(INDEX(Productos!$B$5:$B$124,MATCH($C338,Productos!$A$5:$A$124,0)),"")</f>
        <v/>
      </c>
      <c r="E338" s="59">
        <f>IFERROR(INDEX(Productos!$D$5:$D$124,MATCH($C338,Productos!$A$5:$A$124,0)),"")</f>
        <v/>
      </c>
      <c r="F338" s="186" t="n">
        <v>1</v>
      </c>
      <c r="G338" s="68">
        <f>IFERROR(INDEX(Productos!$H$5:$H$124,MATCH($C338,Productos!$A$5:$A$124,0)),"")</f>
        <v/>
      </c>
      <c r="H338" s="185" t="n">
        <v>0</v>
      </c>
      <c r="I338" s="68">
        <f>IFERROR($G338*(1-$H338),"")</f>
        <v/>
      </c>
      <c r="J338" s="182" t="inlineStr">
        <is>
          <t>Tarjeta</t>
        </is>
      </c>
      <c r="K338" s="69">
        <f>IF($J338="",0,IF($J338="Contado",Inicio!$C$26,IF($J338="Tarjeta",Inicio!$C$27,IF($J338="Crédito propio",Inicio!$C$28,0))))</f>
        <v/>
      </c>
      <c r="L338" s="68">
        <f>IFERROR($F338*$I338,"")</f>
        <v/>
      </c>
      <c r="M338" s="68">
        <f>IFERROR($F338*INDEX(Productos!$G$5:$G$124,MATCH($C338,Productos!$A$5:$A$124,0)),"")</f>
        <v/>
      </c>
      <c r="N338" s="68">
        <f>IFERROR($L338*$K338,"")</f>
        <v/>
      </c>
      <c r="O338" s="68">
        <f>IFERROR($L338-$M338,"")</f>
        <v/>
      </c>
      <c r="P338" s="68">
        <f>IFERROR($O338-$N338,"")</f>
        <v/>
      </c>
      <c r="Q338" s="69">
        <f>IFERROR($P338/$L338,"")</f>
        <v/>
      </c>
    </row>
    <row r="339" ht="15" customHeight="1" s="47">
      <c r="A339" s="183" t="n">
        <v>46208</v>
      </c>
      <c r="B339" s="182" t="inlineStr">
        <is>
          <t>T02</t>
        </is>
      </c>
      <c r="C339" s="182" t="inlineStr">
        <is>
          <t>EL-013</t>
        </is>
      </c>
      <c r="D339" s="59">
        <f>IFERROR(INDEX(Productos!$B$5:$B$124,MATCH($C339,Productos!$A$5:$A$124,0)),"")</f>
        <v/>
      </c>
      <c r="E339" s="59">
        <f>IFERROR(INDEX(Productos!$D$5:$D$124,MATCH($C339,Productos!$A$5:$A$124,0)),"")</f>
        <v/>
      </c>
      <c r="F339" s="186" t="n">
        <v>1</v>
      </c>
      <c r="G339" s="68">
        <f>IFERROR(INDEX(Productos!$H$5:$H$124,MATCH($C339,Productos!$A$5:$A$124,0)),"")</f>
        <v/>
      </c>
      <c r="H339" s="185" t="n">
        <v>0.05</v>
      </c>
      <c r="I339" s="68">
        <f>IFERROR($G339*(1-$H339),"")</f>
        <v/>
      </c>
      <c r="J339" s="182" t="inlineStr">
        <is>
          <t>Contado</t>
        </is>
      </c>
      <c r="K339" s="69">
        <f>IF($J339="",0,IF($J339="Contado",Inicio!$C$26,IF($J339="Tarjeta",Inicio!$C$27,IF($J339="Crédito propio",Inicio!$C$28,0))))</f>
        <v/>
      </c>
      <c r="L339" s="68">
        <f>IFERROR($F339*$I339,"")</f>
        <v/>
      </c>
      <c r="M339" s="68">
        <f>IFERROR($F339*INDEX(Productos!$G$5:$G$124,MATCH($C339,Productos!$A$5:$A$124,0)),"")</f>
        <v/>
      </c>
      <c r="N339" s="68">
        <f>IFERROR($L339*$K339,"")</f>
        <v/>
      </c>
      <c r="O339" s="68">
        <f>IFERROR($L339-$M339,"")</f>
        <v/>
      </c>
      <c r="P339" s="68">
        <f>IFERROR($O339-$N339,"")</f>
        <v/>
      </c>
      <c r="Q339" s="69">
        <f>IFERROR($P339/$L339,"")</f>
        <v/>
      </c>
    </row>
    <row r="340" ht="15" customHeight="1" s="47">
      <c r="A340" s="183" t="n">
        <v>46208</v>
      </c>
      <c r="B340" s="182" t="inlineStr">
        <is>
          <t>T02</t>
        </is>
      </c>
      <c r="C340" s="182" t="inlineStr">
        <is>
          <t>EL-018</t>
        </is>
      </c>
      <c r="D340" s="59">
        <f>IFERROR(INDEX(Productos!$B$5:$B$124,MATCH($C340,Productos!$A$5:$A$124,0)),"")</f>
        <v/>
      </c>
      <c r="E340" s="59">
        <f>IFERROR(INDEX(Productos!$D$5:$D$124,MATCH($C340,Productos!$A$5:$A$124,0)),"")</f>
        <v/>
      </c>
      <c r="F340" s="186" t="n">
        <v>1</v>
      </c>
      <c r="G340" s="68">
        <f>IFERROR(INDEX(Productos!$H$5:$H$124,MATCH($C340,Productos!$A$5:$A$124,0)),"")</f>
        <v/>
      </c>
      <c r="H340" s="185" t="n">
        <v>0.03</v>
      </c>
      <c r="I340" s="68">
        <f>IFERROR($G340*(1-$H340),"")</f>
        <v/>
      </c>
      <c r="J340" s="182" t="inlineStr">
        <is>
          <t>Tarjeta</t>
        </is>
      </c>
      <c r="K340" s="69">
        <f>IF($J340="",0,IF($J340="Contado",Inicio!$C$26,IF($J340="Tarjeta",Inicio!$C$27,IF($J340="Crédito propio",Inicio!$C$28,0))))</f>
        <v/>
      </c>
      <c r="L340" s="68">
        <f>IFERROR($F340*$I340,"")</f>
        <v/>
      </c>
      <c r="M340" s="68">
        <f>IFERROR($F340*INDEX(Productos!$G$5:$G$124,MATCH($C340,Productos!$A$5:$A$124,0)),"")</f>
        <v/>
      </c>
      <c r="N340" s="68">
        <f>IFERROR($L340*$K340,"")</f>
        <v/>
      </c>
      <c r="O340" s="68">
        <f>IFERROR($L340-$M340,"")</f>
        <v/>
      </c>
      <c r="P340" s="68">
        <f>IFERROR($O340-$N340,"")</f>
        <v/>
      </c>
      <c r="Q340" s="69">
        <f>IFERROR($P340/$L340,"")</f>
        <v/>
      </c>
    </row>
    <row r="341" ht="15" customHeight="1" s="47">
      <c r="A341" s="183" t="n">
        <v>46208</v>
      </c>
      <c r="B341" s="182" t="inlineStr">
        <is>
          <t>T02</t>
        </is>
      </c>
      <c r="C341" s="182" t="inlineStr">
        <is>
          <t>EL-024</t>
        </is>
      </c>
      <c r="D341" s="59">
        <f>IFERROR(INDEX(Productos!$B$5:$B$124,MATCH($C341,Productos!$A$5:$A$124,0)),"")</f>
        <v/>
      </c>
      <c r="E341" s="59">
        <f>IFERROR(INDEX(Productos!$D$5:$D$124,MATCH($C341,Productos!$A$5:$A$124,0)),"")</f>
        <v/>
      </c>
      <c r="F341" s="186" t="n">
        <v>1</v>
      </c>
      <c r="G341" s="68">
        <f>IFERROR(INDEX(Productos!$H$5:$H$124,MATCH($C341,Productos!$A$5:$A$124,0)),"")</f>
        <v/>
      </c>
      <c r="H341" s="185" t="n">
        <v>0.07070707070707072</v>
      </c>
      <c r="I341" s="68">
        <f>IFERROR($G341*(1-$H341),"")</f>
        <v/>
      </c>
      <c r="J341" s="182" t="inlineStr">
        <is>
          <t>Tarjeta</t>
        </is>
      </c>
      <c r="K341" s="69">
        <f>IF($J341="",0,IF($J341="Contado",Inicio!$C$26,IF($J341="Tarjeta",Inicio!$C$27,IF($J341="Crédito propio",Inicio!$C$28,0))))</f>
        <v/>
      </c>
      <c r="L341" s="68">
        <f>IFERROR($F341*$I341,"")</f>
        <v/>
      </c>
      <c r="M341" s="68">
        <f>IFERROR($F341*INDEX(Productos!$G$5:$G$124,MATCH($C341,Productos!$A$5:$A$124,0)),"")</f>
        <v/>
      </c>
      <c r="N341" s="68">
        <f>IFERROR($L341*$K341,"")</f>
        <v/>
      </c>
      <c r="O341" s="68">
        <f>IFERROR($L341-$M341,"")</f>
        <v/>
      </c>
      <c r="P341" s="68">
        <f>IFERROR($O341-$N341,"")</f>
        <v/>
      </c>
      <c r="Q341" s="69">
        <f>IFERROR($P341/$L341,"")</f>
        <v/>
      </c>
    </row>
    <row r="342" ht="15" customHeight="1" s="47">
      <c r="A342" s="183" t="n">
        <v>46208</v>
      </c>
      <c r="B342" s="182" t="inlineStr">
        <is>
          <t>T02</t>
        </is>
      </c>
      <c r="C342" s="182" t="inlineStr">
        <is>
          <t>EL-025</t>
        </is>
      </c>
      <c r="D342" s="59">
        <f>IFERROR(INDEX(Productos!$B$5:$B$124,MATCH($C342,Productos!$A$5:$A$124,0)),"")</f>
        <v/>
      </c>
      <c r="E342" s="59">
        <f>IFERROR(INDEX(Productos!$D$5:$D$124,MATCH($C342,Productos!$A$5:$A$124,0)),"")</f>
        <v/>
      </c>
      <c r="F342" s="186" t="n">
        <v>1</v>
      </c>
      <c r="G342" s="68">
        <f>IFERROR(INDEX(Productos!$H$5:$H$124,MATCH($C342,Productos!$A$5:$A$124,0)),"")</f>
        <v/>
      </c>
      <c r="H342" s="185" t="n">
        <v>0</v>
      </c>
      <c r="I342" s="68">
        <f>IFERROR($G342*(1-$H342),"")</f>
        <v/>
      </c>
      <c r="J342" s="182" t="inlineStr">
        <is>
          <t>Contado</t>
        </is>
      </c>
      <c r="K342" s="69">
        <f>IF($J342="",0,IF($J342="Contado",Inicio!$C$26,IF($J342="Tarjeta",Inicio!$C$27,IF($J342="Crédito propio",Inicio!$C$28,0))))</f>
        <v/>
      </c>
      <c r="L342" s="68">
        <f>IFERROR($F342*$I342,"")</f>
        <v/>
      </c>
      <c r="M342" s="68">
        <f>IFERROR($F342*INDEX(Productos!$G$5:$G$124,MATCH($C342,Productos!$A$5:$A$124,0)),"")</f>
        <v/>
      </c>
      <c r="N342" s="68">
        <f>IFERROR($L342*$K342,"")</f>
        <v/>
      </c>
      <c r="O342" s="68">
        <f>IFERROR($L342-$M342,"")</f>
        <v/>
      </c>
      <c r="P342" s="68">
        <f>IFERROR($O342-$N342,"")</f>
        <v/>
      </c>
      <c r="Q342" s="69">
        <f>IFERROR($P342/$L342,"")</f>
        <v/>
      </c>
    </row>
    <row r="343" ht="15" customHeight="1" s="47">
      <c r="A343" s="183" t="n">
        <v>46208</v>
      </c>
      <c r="B343" s="182" t="inlineStr">
        <is>
          <t>T02</t>
        </is>
      </c>
      <c r="C343" s="182" t="inlineStr">
        <is>
          <t>EL-026</t>
        </is>
      </c>
      <c r="D343" s="59">
        <f>IFERROR(INDEX(Productos!$B$5:$B$124,MATCH($C343,Productos!$A$5:$A$124,0)),"")</f>
        <v/>
      </c>
      <c r="E343" s="59">
        <f>IFERROR(INDEX(Productos!$D$5:$D$124,MATCH($C343,Productos!$A$5:$A$124,0)),"")</f>
        <v/>
      </c>
      <c r="F343" s="186" t="n">
        <v>2</v>
      </c>
      <c r="G343" s="68">
        <f>IFERROR(INDEX(Productos!$H$5:$H$124,MATCH($C343,Productos!$A$5:$A$124,0)),"")</f>
        <v/>
      </c>
      <c r="H343" s="185" t="n">
        <v>0.068</v>
      </c>
      <c r="I343" s="68">
        <f>IFERROR($G343*(1-$H343),"")</f>
        <v/>
      </c>
      <c r="J343" s="182" t="inlineStr">
        <is>
          <t>Contado</t>
        </is>
      </c>
      <c r="K343" s="69">
        <f>IF($J343="",0,IF($J343="Contado",Inicio!$C$26,IF($J343="Tarjeta",Inicio!$C$27,IF($J343="Crédito propio",Inicio!$C$28,0))))</f>
        <v/>
      </c>
      <c r="L343" s="68">
        <f>IFERROR($F343*$I343,"")</f>
        <v/>
      </c>
      <c r="M343" s="68">
        <f>IFERROR($F343*INDEX(Productos!$G$5:$G$124,MATCH($C343,Productos!$A$5:$A$124,0)),"")</f>
        <v/>
      </c>
      <c r="N343" s="68">
        <f>IFERROR($L343*$K343,"")</f>
        <v/>
      </c>
      <c r="O343" s="68">
        <f>IFERROR($L343-$M343,"")</f>
        <v/>
      </c>
      <c r="P343" s="68">
        <f>IFERROR($O343-$N343,"")</f>
        <v/>
      </c>
      <c r="Q343" s="69">
        <f>IFERROR($P343/$L343,"")</f>
        <v/>
      </c>
    </row>
    <row r="344" ht="15" customHeight="1" s="47">
      <c r="A344" s="183" t="n">
        <v>46208</v>
      </c>
      <c r="B344" s="182" t="inlineStr">
        <is>
          <t>T02</t>
        </is>
      </c>
      <c r="C344" s="182" t="inlineStr">
        <is>
          <t>EL-036</t>
        </is>
      </c>
      <c r="D344" s="59">
        <f>IFERROR(INDEX(Productos!$B$5:$B$124,MATCH($C344,Productos!$A$5:$A$124,0)),"")</f>
        <v/>
      </c>
      <c r="E344" s="59">
        <f>IFERROR(INDEX(Productos!$D$5:$D$124,MATCH($C344,Productos!$A$5:$A$124,0)),"")</f>
        <v/>
      </c>
      <c r="F344" s="186" t="n">
        <v>2</v>
      </c>
      <c r="G344" s="68">
        <f>IFERROR(INDEX(Productos!$H$5:$H$124,MATCH($C344,Productos!$A$5:$A$124,0)),"")</f>
        <v/>
      </c>
      <c r="H344" s="185" t="n">
        <v>0.05</v>
      </c>
      <c r="I344" s="68">
        <f>IFERROR($G344*(1-$H344),"")</f>
        <v/>
      </c>
      <c r="J344" s="182" t="inlineStr">
        <is>
          <t>Contado</t>
        </is>
      </c>
      <c r="K344" s="69">
        <f>IF($J344="",0,IF($J344="Contado",Inicio!$C$26,IF($J344="Tarjeta",Inicio!$C$27,IF($J344="Crédito propio",Inicio!$C$28,0))))</f>
        <v/>
      </c>
      <c r="L344" s="68">
        <f>IFERROR($F344*$I344,"")</f>
        <v/>
      </c>
      <c r="M344" s="68">
        <f>IFERROR($F344*INDEX(Productos!$G$5:$G$124,MATCH($C344,Productos!$A$5:$A$124,0)),"")</f>
        <v/>
      </c>
      <c r="N344" s="68">
        <f>IFERROR($L344*$K344,"")</f>
        <v/>
      </c>
      <c r="O344" s="68">
        <f>IFERROR($L344-$M344,"")</f>
        <v/>
      </c>
      <c r="P344" s="68">
        <f>IFERROR($O344-$N344,"")</f>
        <v/>
      </c>
      <c r="Q344" s="69">
        <f>IFERROR($P344/$L344,"")</f>
        <v/>
      </c>
    </row>
    <row r="345" ht="15" customHeight="1" s="47">
      <c r="A345" s="183" t="n">
        <v>46208</v>
      </c>
      <c r="B345" s="182" t="inlineStr">
        <is>
          <t>T02</t>
        </is>
      </c>
      <c r="C345" s="182" t="inlineStr">
        <is>
          <t>EL-038</t>
        </is>
      </c>
      <c r="D345" s="59">
        <f>IFERROR(INDEX(Productos!$B$5:$B$124,MATCH($C345,Productos!$A$5:$A$124,0)),"")</f>
        <v/>
      </c>
      <c r="E345" s="59">
        <f>IFERROR(INDEX(Productos!$D$5:$D$124,MATCH($C345,Productos!$A$5:$A$124,0)),"")</f>
        <v/>
      </c>
      <c r="F345" s="186" t="n">
        <v>1</v>
      </c>
      <c r="G345" s="68">
        <f>IFERROR(INDEX(Productos!$H$5:$H$124,MATCH($C345,Productos!$A$5:$A$124,0)),"")</f>
        <v/>
      </c>
      <c r="H345" s="185" t="n">
        <v>0.06837606837606836</v>
      </c>
      <c r="I345" s="68">
        <f>IFERROR($G345*(1-$H345),"")</f>
        <v/>
      </c>
      <c r="J345" s="182" t="inlineStr">
        <is>
          <t>Crédito propio</t>
        </is>
      </c>
      <c r="K345" s="69">
        <f>IF($J345="",0,IF($J345="Contado",Inicio!$C$26,IF($J345="Tarjeta",Inicio!$C$27,IF($J345="Crédito propio",Inicio!$C$28,0))))</f>
        <v/>
      </c>
      <c r="L345" s="68">
        <f>IFERROR($F345*$I345,"")</f>
        <v/>
      </c>
      <c r="M345" s="68">
        <f>IFERROR($F345*INDEX(Productos!$G$5:$G$124,MATCH($C345,Productos!$A$5:$A$124,0)),"")</f>
        <v/>
      </c>
      <c r="N345" s="68">
        <f>IFERROR($L345*$K345,"")</f>
        <v/>
      </c>
      <c r="O345" s="68">
        <f>IFERROR($L345-$M345,"")</f>
        <v/>
      </c>
      <c r="P345" s="68">
        <f>IFERROR($O345-$N345,"")</f>
        <v/>
      </c>
      <c r="Q345" s="69">
        <f>IFERROR($P345/$L345,"")</f>
        <v/>
      </c>
    </row>
    <row r="346" ht="15" customHeight="1" s="47">
      <c r="A346" s="183" t="n">
        <v>46208</v>
      </c>
      <c r="B346" s="182" t="inlineStr">
        <is>
          <t>T02</t>
        </is>
      </c>
      <c r="C346" s="182" t="inlineStr">
        <is>
          <t>EL-044</t>
        </is>
      </c>
      <c r="D346" s="59">
        <f>IFERROR(INDEX(Productos!$B$5:$B$124,MATCH($C346,Productos!$A$5:$A$124,0)),"")</f>
        <v/>
      </c>
      <c r="E346" s="59">
        <f>IFERROR(INDEX(Productos!$D$5:$D$124,MATCH($C346,Productos!$A$5:$A$124,0)),"")</f>
        <v/>
      </c>
      <c r="F346" s="186" t="n">
        <v>1</v>
      </c>
      <c r="G346" s="68">
        <f>IFERROR(INDEX(Productos!$H$5:$H$124,MATCH($C346,Productos!$A$5:$A$124,0)),"")</f>
        <v/>
      </c>
      <c r="H346" s="185" t="n">
        <v>0</v>
      </c>
      <c r="I346" s="68">
        <f>IFERROR($G346*(1-$H346),"")</f>
        <v/>
      </c>
      <c r="J346" s="182" t="inlineStr">
        <is>
          <t>Tarjeta</t>
        </is>
      </c>
      <c r="K346" s="69">
        <f>IF($J346="",0,IF($J346="Contado",Inicio!$C$26,IF($J346="Tarjeta",Inicio!$C$27,IF($J346="Crédito propio",Inicio!$C$28,0))))</f>
        <v/>
      </c>
      <c r="L346" s="68">
        <f>IFERROR($F346*$I346,"")</f>
        <v/>
      </c>
      <c r="M346" s="68">
        <f>IFERROR($F346*INDEX(Productos!$G$5:$G$124,MATCH($C346,Productos!$A$5:$A$124,0)),"")</f>
        <v/>
      </c>
      <c r="N346" s="68">
        <f>IFERROR($L346*$K346,"")</f>
        <v/>
      </c>
      <c r="O346" s="68">
        <f>IFERROR($L346-$M346,"")</f>
        <v/>
      </c>
      <c r="P346" s="68">
        <f>IFERROR($O346-$N346,"")</f>
        <v/>
      </c>
      <c r="Q346" s="69">
        <f>IFERROR($P346/$L346,"")</f>
        <v/>
      </c>
    </row>
    <row r="347" ht="15" customHeight="1" s="47">
      <c r="A347" s="183" t="n">
        <v>46208</v>
      </c>
      <c r="B347" s="182" t="inlineStr">
        <is>
          <t>T02</t>
        </is>
      </c>
      <c r="C347" s="182" t="inlineStr">
        <is>
          <t>EL-046</t>
        </is>
      </c>
      <c r="D347" s="59">
        <f>IFERROR(INDEX(Productos!$B$5:$B$124,MATCH($C347,Productos!$A$5:$A$124,0)),"")</f>
        <v/>
      </c>
      <c r="E347" s="59">
        <f>IFERROR(INDEX(Productos!$D$5:$D$124,MATCH($C347,Productos!$A$5:$A$124,0)),"")</f>
        <v/>
      </c>
      <c r="F347" s="186" t="n">
        <v>1</v>
      </c>
      <c r="G347" s="68">
        <f>IFERROR(INDEX(Productos!$H$5:$H$124,MATCH($C347,Productos!$A$5:$A$124,0)),"")</f>
        <v/>
      </c>
      <c r="H347" s="185" t="n">
        <v>0.05</v>
      </c>
      <c r="I347" s="68">
        <f>IFERROR($G347*(1-$H347),"")</f>
        <v/>
      </c>
      <c r="J347" s="182" t="inlineStr">
        <is>
          <t>Contado</t>
        </is>
      </c>
      <c r="K347" s="69">
        <f>IF($J347="",0,IF($J347="Contado",Inicio!$C$26,IF($J347="Tarjeta",Inicio!$C$27,IF($J347="Crédito propio",Inicio!$C$28,0))))</f>
        <v/>
      </c>
      <c r="L347" s="68">
        <f>IFERROR($F347*$I347,"")</f>
        <v/>
      </c>
      <c r="M347" s="68">
        <f>IFERROR($F347*INDEX(Productos!$G$5:$G$124,MATCH($C347,Productos!$A$5:$A$124,0)),"")</f>
        <v/>
      </c>
      <c r="N347" s="68">
        <f>IFERROR($L347*$K347,"")</f>
        <v/>
      </c>
      <c r="O347" s="68">
        <f>IFERROR($L347-$M347,"")</f>
        <v/>
      </c>
      <c r="P347" s="68">
        <f>IFERROR($O347-$N347,"")</f>
        <v/>
      </c>
      <c r="Q347" s="69">
        <f>IFERROR($P347/$L347,"")</f>
        <v/>
      </c>
    </row>
    <row r="348" ht="15" customHeight="1" s="47">
      <c r="A348" s="183" t="n">
        <v>46208</v>
      </c>
      <c r="B348" s="182" t="inlineStr">
        <is>
          <t>T02</t>
        </is>
      </c>
      <c r="C348" s="182" t="inlineStr">
        <is>
          <t>EL-049</t>
        </is>
      </c>
      <c r="D348" s="59">
        <f>IFERROR(INDEX(Productos!$B$5:$B$124,MATCH($C348,Productos!$A$5:$A$124,0)),"")</f>
        <v/>
      </c>
      <c r="E348" s="59">
        <f>IFERROR(INDEX(Productos!$D$5:$D$124,MATCH($C348,Productos!$A$5:$A$124,0)),"")</f>
        <v/>
      </c>
      <c r="F348" s="186" t="n">
        <v>1</v>
      </c>
      <c r="G348" s="68">
        <f>IFERROR(INDEX(Productos!$H$5:$H$124,MATCH($C348,Productos!$A$5:$A$124,0)),"")</f>
        <v/>
      </c>
      <c r="H348" s="185" t="n">
        <v>0.07185628742514971</v>
      </c>
      <c r="I348" s="68">
        <f>IFERROR($G348*(1-$H348),"")</f>
        <v/>
      </c>
      <c r="J348" s="182" t="inlineStr">
        <is>
          <t>Contado</t>
        </is>
      </c>
      <c r="K348" s="69">
        <f>IF($J348="",0,IF($J348="Contado",Inicio!$C$26,IF($J348="Tarjeta",Inicio!$C$27,IF($J348="Crédito propio",Inicio!$C$28,0))))</f>
        <v/>
      </c>
      <c r="L348" s="68">
        <f>IFERROR($F348*$I348,"")</f>
        <v/>
      </c>
      <c r="M348" s="68">
        <f>IFERROR($F348*INDEX(Productos!$G$5:$G$124,MATCH($C348,Productos!$A$5:$A$124,0)),"")</f>
        <v/>
      </c>
      <c r="N348" s="68">
        <f>IFERROR($L348*$K348,"")</f>
        <v/>
      </c>
      <c r="O348" s="68">
        <f>IFERROR($L348-$M348,"")</f>
        <v/>
      </c>
      <c r="P348" s="68">
        <f>IFERROR($O348-$N348,"")</f>
        <v/>
      </c>
      <c r="Q348" s="69">
        <f>IFERROR($P348/$L348,"")</f>
        <v/>
      </c>
    </row>
    <row r="349" ht="15" customHeight="1" s="47">
      <c r="A349" s="183" t="n">
        <v>46208</v>
      </c>
      <c r="B349" s="182" t="inlineStr">
        <is>
          <t>T02</t>
        </is>
      </c>
      <c r="C349" s="182" t="inlineStr">
        <is>
          <t>EL-050</t>
        </is>
      </c>
      <c r="D349" s="59">
        <f>IFERROR(INDEX(Productos!$B$5:$B$124,MATCH($C349,Productos!$A$5:$A$124,0)),"")</f>
        <v/>
      </c>
      <c r="E349" s="59">
        <f>IFERROR(INDEX(Productos!$D$5:$D$124,MATCH($C349,Productos!$A$5:$A$124,0)),"")</f>
        <v/>
      </c>
      <c r="F349" s="186" t="n">
        <v>1</v>
      </c>
      <c r="G349" s="68">
        <f>IFERROR(INDEX(Productos!$H$5:$H$124,MATCH($C349,Productos!$A$5:$A$124,0)),"")</f>
        <v/>
      </c>
      <c r="H349" s="185" t="n">
        <v>0.06926406926406925</v>
      </c>
      <c r="I349" s="68">
        <f>IFERROR($G349*(1-$H349),"")</f>
        <v/>
      </c>
      <c r="J349" s="182" t="inlineStr">
        <is>
          <t>Crédito propio</t>
        </is>
      </c>
      <c r="K349" s="69">
        <f>IF($J349="",0,IF($J349="Contado",Inicio!$C$26,IF($J349="Tarjeta",Inicio!$C$27,IF($J349="Crédito propio",Inicio!$C$28,0))))</f>
        <v/>
      </c>
      <c r="L349" s="68">
        <f>IFERROR($F349*$I349,"")</f>
        <v/>
      </c>
      <c r="M349" s="68">
        <f>IFERROR($F349*INDEX(Productos!$G$5:$G$124,MATCH($C349,Productos!$A$5:$A$124,0)),"")</f>
        <v/>
      </c>
      <c r="N349" s="68">
        <f>IFERROR($L349*$K349,"")</f>
        <v/>
      </c>
      <c r="O349" s="68">
        <f>IFERROR($L349-$M349,"")</f>
        <v/>
      </c>
      <c r="P349" s="68">
        <f>IFERROR($O349-$N349,"")</f>
        <v/>
      </c>
      <c r="Q349" s="69">
        <f>IFERROR($P349/$L349,"")</f>
        <v/>
      </c>
    </row>
    <row r="350" ht="15" customHeight="1" s="47">
      <c r="A350" s="183" t="n">
        <v>46208</v>
      </c>
      <c r="B350" s="182" t="inlineStr">
        <is>
          <t>T03</t>
        </is>
      </c>
      <c r="C350" s="182" t="inlineStr">
        <is>
          <t>EL-001</t>
        </is>
      </c>
      <c r="D350" s="59">
        <f>IFERROR(INDEX(Productos!$B$5:$B$124,MATCH($C350,Productos!$A$5:$A$124,0)),"")</f>
        <v/>
      </c>
      <c r="E350" s="59">
        <f>IFERROR(INDEX(Productos!$D$5:$D$124,MATCH($C350,Productos!$A$5:$A$124,0)),"")</f>
        <v/>
      </c>
      <c r="F350" s="186" t="n">
        <v>1</v>
      </c>
      <c r="G350" s="68">
        <f>IFERROR(INDEX(Productos!$H$5:$H$124,MATCH($C350,Productos!$A$5:$A$124,0)),"")</f>
        <v/>
      </c>
      <c r="H350" s="185" t="n">
        <v>0</v>
      </c>
      <c r="I350" s="68">
        <f>IFERROR($G350*(1-$H350),"")</f>
        <v/>
      </c>
      <c r="J350" s="182" t="inlineStr">
        <is>
          <t>Contado</t>
        </is>
      </c>
      <c r="K350" s="69">
        <f>IF($J350="",0,IF($J350="Contado",Inicio!$C$26,IF($J350="Tarjeta",Inicio!$C$27,IF($J350="Crédito propio",Inicio!$C$28,0))))</f>
        <v/>
      </c>
      <c r="L350" s="68">
        <f>IFERROR($F350*$I350,"")</f>
        <v/>
      </c>
      <c r="M350" s="68">
        <f>IFERROR($F350*INDEX(Productos!$G$5:$G$124,MATCH($C350,Productos!$A$5:$A$124,0)),"")</f>
        <v/>
      </c>
      <c r="N350" s="68">
        <f>IFERROR($L350*$K350,"")</f>
        <v/>
      </c>
      <c r="O350" s="68">
        <f>IFERROR($L350-$M350,"")</f>
        <v/>
      </c>
      <c r="P350" s="68">
        <f>IFERROR($O350-$N350,"")</f>
        <v/>
      </c>
      <c r="Q350" s="69">
        <f>IFERROR($P350/$L350,"")</f>
        <v/>
      </c>
    </row>
    <row r="351" ht="15" customHeight="1" s="47">
      <c r="A351" s="183" t="n">
        <v>46208</v>
      </c>
      <c r="B351" s="182" t="inlineStr">
        <is>
          <t>T03</t>
        </is>
      </c>
      <c r="C351" s="182" t="inlineStr">
        <is>
          <t>EL-002</t>
        </is>
      </c>
      <c r="D351" s="59">
        <f>IFERROR(INDEX(Productos!$B$5:$B$124,MATCH($C351,Productos!$A$5:$A$124,0)),"")</f>
        <v/>
      </c>
      <c r="E351" s="59">
        <f>IFERROR(INDEX(Productos!$D$5:$D$124,MATCH($C351,Productos!$A$5:$A$124,0)),"")</f>
        <v/>
      </c>
      <c r="F351" s="186" t="n">
        <v>1</v>
      </c>
      <c r="G351" s="68">
        <f>IFERROR(INDEX(Productos!$H$5:$H$124,MATCH($C351,Productos!$A$5:$A$124,0)),"")</f>
        <v/>
      </c>
      <c r="H351" s="185" t="n">
        <v>0</v>
      </c>
      <c r="I351" s="68">
        <f>IFERROR($G351*(1-$H351),"")</f>
        <v/>
      </c>
      <c r="J351" s="182" t="inlineStr">
        <is>
          <t>Tarjeta</t>
        </is>
      </c>
      <c r="K351" s="69">
        <f>IF($J351="",0,IF($J351="Contado",Inicio!$C$26,IF($J351="Tarjeta",Inicio!$C$27,IF($J351="Crédito propio",Inicio!$C$28,0))))</f>
        <v/>
      </c>
      <c r="L351" s="68">
        <f>IFERROR($F351*$I351,"")</f>
        <v/>
      </c>
      <c r="M351" s="68">
        <f>IFERROR($F351*INDEX(Productos!$G$5:$G$124,MATCH($C351,Productos!$A$5:$A$124,0)),"")</f>
        <v/>
      </c>
      <c r="N351" s="68">
        <f>IFERROR($L351*$K351,"")</f>
        <v/>
      </c>
      <c r="O351" s="68">
        <f>IFERROR($L351-$M351,"")</f>
        <v/>
      </c>
      <c r="P351" s="68">
        <f>IFERROR($O351-$N351,"")</f>
        <v/>
      </c>
      <c r="Q351" s="69">
        <f>IFERROR($P351/$L351,"")</f>
        <v/>
      </c>
    </row>
    <row r="352" ht="15" customHeight="1" s="47">
      <c r="A352" s="183" t="n">
        <v>46208</v>
      </c>
      <c r="B352" s="182" t="inlineStr">
        <is>
          <t>T03</t>
        </is>
      </c>
      <c r="C352" s="182" t="inlineStr">
        <is>
          <t>EL-011</t>
        </is>
      </c>
      <c r="D352" s="59">
        <f>IFERROR(INDEX(Productos!$B$5:$B$124,MATCH($C352,Productos!$A$5:$A$124,0)),"")</f>
        <v/>
      </c>
      <c r="E352" s="59">
        <f>IFERROR(INDEX(Productos!$D$5:$D$124,MATCH($C352,Productos!$A$5:$A$124,0)),"")</f>
        <v/>
      </c>
      <c r="F352" s="186" t="n">
        <v>1</v>
      </c>
      <c r="G352" s="68">
        <f>IFERROR(INDEX(Productos!$H$5:$H$124,MATCH($C352,Productos!$A$5:$A$124,0)),"")</f>
        <v/>
      </c>
      <c r="H352" s="185" t="n">
        <v>0.03</v>
      </c>
      <c r="I352" s="68">
        <f>IFERROR($G352*(1-$H352),"")</f>
        <v/>
      </c>
      <c r="J352" s="182" t="inlineStr">
        <is>
          <t>Contado</t>
        </is>
      </c>
      <c r="K352" s="69">
        <f>IF($J352="",0,IF($J352="Contado",Inicio!$C$26,IF($J352="Tarjeta",Inicio!$C$27,IF($J352="Crédito propio",Inicio!$C$28,0))))</f>
        <v/>
      </c>
      <c r="L352" s="68">
        <f>IFERROR($F352*$I352,"")</f>
        <v/>
      </c>
      <c r="M352" s="68">
        <f>IFERROR($F352*INDEX(Productos!$G$5:$G$124,MATCH($C352,Productos!$A$5:$A$124,0)),"")</f>
        <v/>
      </c>
      <c r="N352" s="68">
        <f>IFERROR($L352*$K352,"")</f>
        <v/>
      </c>
      <c r="O352" s="68">
        <f>IFERROR($L352-$M352,"")</f>
        <v/>
      </c>
      <c r="P352" s="68">
        <f>IFERROR($O352-$N352,"")</f>
        <v/>
      </c>
      <c r="Q352" s="69">
        <f>IFERROR($P352/$L352,"")</f>
        <v/>
      </c>
    </row>
    <row r="353" ht="15" customHeight="1" s="47">
      <c r="A353" s="183" t="n">
        <v>46208</v>
      </c>
      <c r="B353" s="182" t="inlineStr">
        <is>
          <t>T03</t>
        </is>
      </c>
      <c r="C353" s="182" t="inlineStr">
        <is>
          <t>EL-016</t>
        </is>
      </c>
      <c r="D353" s="59">
        <f>IFERROR(INDEX(Productos!$B$5:$B$124,MATCH($C353,Productos!$A$5:$A$124,0)),"")</f>
        <v/>
      </c>
      <c r="E353" s="59">
        <f>IFERROR(INDEX(Productos!$D$5:$D$124,MATCH($C353,Productos!$A$5:$A$124,0)),"")</f>
        <v/>
      </c>
      <c r="F353" s="186" t="n">
        <v>1</v>
      </c>
      <c r="G353" s="68">
        <f>IFERROR(INDEX(Productos!$H$5:$H$124,MATCH($C353,Productos!$A$5:$A$124,0)),"")</f>
        <v/>
      </c>
      <c r="H353" s="185" t="n">
        <v>0</v>
      </c>
      <c r="I353" s="68">
        <f>IFERROR($G353*(1-$H353),"")</f>
        <v/>
      </c>
      <c r="J353" s="182" t="inlineStr">
        <is>
          <t>Contado</t>
        </is>
      </c>
      <c r="K353" s="69">
        <f>IF($J353="",0,IF($J353="Contado",Inicio!$C$26,IF($J353="Tarjeta",Inicio!$C$27,IF($J353="Crédito propio",Inicio!$C$28,0))))</f>
        <v/>
      </c>
      <c r="L353" s="68">
        <f>IFERROR($F353*$I353,"")</f>
        <v/>
      </c>
      <c r="M353" s="68">
        <f>IFERROR($F353*INDEX(Productos!$G$5:$G$124,MATCH($C353,Productos!$A$5:$A$124,0)),"")</f>
        <v/>
      </c>
      <c r="N353" s="68">
        <f>IFERROR($L353*$K353,"")</f>
        <v/>
      </c>
      <c r="O353" s="68">
        <f>IFERROR($L353-$M353,"")</f>
        <v/>
      </c>
      <c r="P353" s="68">
        <f>IFERROR($O353-$N353,"")</f>
        <v/>
      </c>
      <c r="Q353" s="69">
        <f>IFERROR($P353/$L353,"")</f>
        <v/>
      </c>
    </row>
    <row r="354" ht="15" customHeight="1" s="47">
      <c r="A354" s="183" t="n">
        <v>46208</v>
      </c>
      <c r="B354" s="182" t="inlineStr">
        <is>
          <t>T03</t>
        </is>
      </c>
      <c r="C354" s="182" t="inlineStr">
        <is>
          <t>EL-018</t>
        </is>
      </c>
      <c r="D354" s="59">
        <f>IFERROR(INDEX(Productos!$B$5:$B$124,MATCH($C354,Productos!$A$5:$A$124,0)),"")</f>
        <v/>
      </c>
      <c r="E354" s="59">
        <f>IFERROR(INDEX(Productos!$D$5:$D$124,MATCH($C354,Productos!$A$5:$A$124,0)),"")</f>
        <v/>
      </c>
      <c r="F354" s="186" t="n">
        <v>1</v>
      </c>
      <c r="G354" s="68">
        <f>IFERROR(INDEX(Productos!$H$5:$H$124,MATCH($C354,Productos!$A$5:$A$124,0)),"")</f>
        <v/>
      </c>
      <c r="H354" s="185" t="n">
        <v>0</v>
      </c>
      <c r="I354" s="68">
        <f>IFERROR($G354*(1-$H354),"")</f>
        <v/>
      </c>
      <c r="J354" s="182" t="inlineStr">
        <is>
          <t>Tarjeta</t>
        </is>
      </c>
      <c r="K354" s="69">
        <f>IF($J354="",0,IF($J354="Contado",Inicio!$C$26,IF($J354="Tarjeta",Inicio!$C$27,IF($J354="Crédito propio",Inicio!$C$28,0))))</f>
        <v/>
      </c>
      <c r="L354" s="68">
        <f>IFERROR($F354*$I354,"")</f>
        <v/>
      </c>
      <c r="M354" s="68">
        <f>IFERROR($F354*INDEX(Productos!$G$5:$G$124,MATCH($C354,Productos!$A$5:$A$124,0)),"")</f>
        <v/>
      </c>
      <c r="N354" s="68">
        <f>IFERROR($L354*$K354,"")</f>
        <v/>
      </c>
      <c r="O354" s="68">
        <f>IFERROR($L354-$M354,"")</f>
        <v/>
      </c>
      <c r="P354" s="68">
        <f>IFERROR($O354-$N354,"")</f>
        <v/>
      </c>
      <c r="Q354" s="69">
        <f>IFERROR($P354/$L354,"")</f>
        <v/>
      </c>
    </row>
    <row r="355" ht="15" customHeight="1" s="47">
      <c r="A355" s="183" t="n">
        <v>46208</v>
      </c>
      <c r="B355" s="182" t="inlineStr">
        <is>
          <t>T03</t>
        </is>
      </c>
      <c r="C355" s="182" t="inlineStr">
        <is>
          <t>EL-021</t>
        </is>
      </c>
      <c r="D355" s="59">
        <f>IFERROR(INDEX(Productos!$B$5:$B$124,MATCH($C355,Productos!$A$5:$A$124,0)),"")</f>
        <v/>
      </c>
      <c r="E355" s="59">
        <f>IFERROR(INDEX(Productos!$D$5:$D$124,MATCH($C355,Productos!$A$5:$A$124,0)),"")</f>
        <v/>
      </c>
      <c r="F355" s="186" t="n">
        <v>1</v>
      </c>
      <c r="G355" s="68">
        <f>IFERROR(INDEX(Productos!$H$5:$H$124,MATCH($C355,Productos!$A$5:$A$124,0)),"")</f>
        <v/>
      </c>
      <c r="H355" s="185" t="n">
        <v>0.03</v>
      </c>
      <c r="I355" s="68">
        <f>IFERROR($G355*(1-$H355),"")</f>
        <v/>
      </c>
      <c r="J355" s="182" t="inlineStr">
        <is>
          <t>Tarjeta</t>
        </is>
      </c>
      <c r="K355" s="69">
        <f>IF($J355="",0,IF($J355="Contado",Inicio!$C$26,IF($J355="Tarjeta",Inicio!$C$27,IF($J355="Crédito propio",Inicio!$C$28,0))))</f>
        <v/>
      </c>
      <c r="L355" s="68">
        <f>IFERROR($F355*$I355,"")</f>
        <v/>
      </c>
      <c r="M355" s="68">
        <f>IFERROR($F355*INDEX(Productos!$G$5:$G$124,MATCH($C355,Productos!$A$5:$A$124,0)),"")</f>
        <v/>
      </c>
      <c r="N355" s="68">
        <f>IFERROR($L355*$K355,"")</f>
        <v/>
      </c>
      <c r="O355" s="68">
        <f>IFERROR($L355-$M355,"")</f>
        <v/>
      </c>
      <c r="P355" s="68">
        <f>IFERROR($O355-$N355,"")</f>
        <v/>
      </c>
      <c r="Q355" s="69">
        <f>IFERROR($P355/$L355,"")</f>
        <v/>
      </c>
    </row>
    <row r="356" ht="15" customHeight="1" s="47">
      <c r="A356" s="183" t="n">
        <v>46208</v>
      </c>
      <c r="B356" s="182" t="inlineStr">
        <is>
          <t>T03</t>
        </is>
      </c>
      <c r="C356" s="182" t="inlineStr">
        <is>
          <t>EL-023</t>
        </is>
      </c>
      <c r="D356" s="59">
        <f>IFERROR(INDEX(Productos!$B$5:$B$124,MATCH($C356,Productos!$A$5:$A$124,0)),"")</f>
        <v/>
      </c>
      <c r="E356" s="59">
        <f>IFERROR(INDEX(Productos!$D$5:$D$124,MATCH($C356,Productos!$A$5:$A$124,0)),"")</f>
        <v/>
      </c>
      <c r="F356" s="186" t="n">
        <v>1</v>
      </c>
      <c r="G356" s="68">
        <f>IFERROR(INDEX(Productos!$H$5:$H$124,MATCH($C356,Productos!$A$5:$A$124,0)),"")</f>
        <v/>
      </c>
      <c r="H356" s="185" t="n">
        <v>0</v>
      </c>
      <c r="I356" s="68">
        <f>IFERROR($G356*(1-$H356),"")</f>
        <v/>
      </c>
      <c r="J356" s="182" t="inlineStr">
        <is>
          <t>Tarjeta</t>
        </is>
      </c>
      <c r="K356" s="69">
        <f>IF($J356="",0,IF($J356="Contado",Inicio!$C$26,IF($J356="Tarjeta",Inicio!$C$27,IF($J356="Crédito propio",Inicio!$C$28,0))))</f>
        <v/>
      </c>
      <c r="L356" s="68">
        <f>IFERROR($F356*$I356,"")</f>
        <v/>
      </c>
      <c r="M356" s="68">
        <f>IFERROR($F356*INDEX(Productos!$G$5:$G$124,MATCH($C356,Productos!$A$5:$A$124,0)),"")</f>
        <v/>
      </c>
      <c r="N356" s="68">
        <f>IFERROR($L356*$K356,"")</f>
        <v/>
      </c>
      <c r="O356" s="68">
        <f>IFERROR($L356-$M356,"")</f>
        <v/>
      </c>
      <c r="P356" s="68">
        <f>IFERROR($O356-$N356,"")</f>
        <v/>
      </c>
      <c r="Q356" s="69">
        <f>IFERROR($P356/$L356,"")</f>
        <v/>
      </c>
    </row>
    <row r="357" ht="15" customHeight="1" s="47">
      <c r="A357" s="183" t="n">
        <v>46208</v>
      </c>
      <c r="B357" s="182" t="inlineStr">
        <is>
          <t>T03</t>
        </is>
      </c>
      <c r="C357" s="182" t="inlineStr">
        <is>
          <t>EL-024</t>
        </is>
      </c>
      <c r="D357" s="59">
        <f>IFERROR(INDEX(Productos!$B$5:$B$124,MATCH($C357,Productos!$A$5:$A$124,0)),"")</f>
        <v/>
      </c>
      <c r="E357" s="59">
        <f>IFERROR(INDEX(Productos!$D$5:$D$124,MATCH($C357,Productos!$A$5:$A$124,0)),"")</f>
        <v/>
      </c>
      <c r="F357" s="186" t="n">
        <v>1</v>
      </c>
      <c r="G357" s="68">
        <f>IFERROR(INDEX(Productos!$H$5:$H$124,MATCH($C357,Productos!$A$5:$A$124,0)),"")</f>
        <v/>
      </c>
      <c r="H357" s="185" t="n">
        <v>0</v>
      </c>
      <c r="I357" s="68">
        <f>IFERROR($G357*(1-$H357),"")</f>
        <v/>
      </c>
      <c r="J357" s="182" t="inlineStr">
        <is>
          <t>Contado</t>
        </is>
      </c>
      <c r="K357" s="69">
        <f>IF($J357="",0,IF($J357="Contado",Inicio!$C$26,IF($J357="Tarjeta",Inicio!$C$27,IF($J357="Crédito propio",Inicio!$C$28,0))))</f>
        <v/>
      </c>
      <c r="L357" s="68">
        <f>IFERROR($F357*$I357,"")</f>
        <v/>
      </c>
      <c r="M357" s="68">
        <f>IFERROR($F357*INDEX(Productos!$G$5:$G$124,MATCH($C357,Productos!$A$5:$A$124,0)),"")</f>
        <v/>
      </c>
      <c r="N357" s="68">
        <f>IFERROR($L357*$K357,"")</f>
        <v/>
      </c>
      <c r="O357" s="68">
        <f>IFERROR($L357-$M357,"")</f>
        <v/>
      </c>
      <c r="P357" s="68">
        <f>IFERROR($O357-$N357,"")</f>
        <v/>
      </c>
      <c r="Q357" s="69">
        <f>IFERROR($P357/$L357,"")</f>
        <v/>
      </c>
    </row>
    <row r="358" ht="15" customHeight="1" s="47">
      <c r="A358" s="183" t="n">
        <v>46208</v>
      </c>
      <c r="B358" s="182" t="inlineStr">
        <is>
          <t>T03</t>
        </is>
      </c>
      <c r="C358" s="182" t="inlineStr">
        <is>
          <t>EL-026</t>
        </is>
      </c>
      <c r="D358" s="59">
        <f>IFERROR(INDEX(Productos!$B$5:$B$124,MATCH($C358,Productos!$A$5:$A$124,0)),"")</f>
        <v/>
      </c>
      <c r="E358" s="59">
        <f>IFERROR(INDEX(Productos!$D$5:$D$124,MATCH($C358,Productos!$A$5:$A$124,0)),"")</f>
        <v/>
      </c>
      <c r="F358" s="186" t="n">
        <v>1</v>
      </c>
      <c r="G358" s="68">
        <f>IFERROR(INDEX(Productos!$H$5:$H$124,MATCH($C358,Productos!$A$5:$A$124,0)),"")</f>
        <v/>
      </c>
      <c r="H358" s="185" t="n">
        <v>0</v>
      </c>
      <c r="I358" s="68">
        <f>IFERROR($G358*(1-$H358),"")</f>
        <v/>
      </c>
      <c r="J358" s="182" t="inlineStr">
        <is>
          <t>Contado</t>
        </is>
      </c>
      <c r="K358" s="69">
        <f>IF($J358="",0,IF($J358="Contado",Inicio!$C$26,IF($J358="Tarjeta",Inicio!$C$27,IF($J358="Crédito propio",Inicio!$C$28,0))))</f>
        <v/>
      </c>
      <c r="L358" s="68">
        <f>IFERROR($F358*$I358,"")</f>
        <v/>
      </c>
      <c r="M358" s="68">
        <f>IFERROR($F358*INDEX(Productos!$G$5:$G$124,MATCH($C358,Productos!$A$5:$A$124,0)),"")</f>
        <v/>
      </c>
      <c r="N358" s="68">
        <f>IFERROR($L358*$K358,"")</f>
        <v/>
      </c>
      <c r="O358" s="68">
        <f>IFERROR($L358-$M358,"")</f>
        <v/>
      </c>
      <c r="P358" s="68">
        <f>IFERROR($O358-$N358,"")</f>
        <v/>
      </c>
      <c r="Q358" s="69">
        <f>IFERROR($P358/$L358,"")</f>
        <v/>
      </c>
    </row>
    <row r="359" ht="15" customHeight="1" s="47">
      <c r="A359" s="183" t="n">
        <v>46208</v>
      </c>
      <c r="B359" s="182" t="inlineStr">
        <is>
          <t>T03</t>
        </is>
      </c>
      <c r="C359" s="182" t="inlineStr">
        <is>
          <t>EL-027</t>
        </is>
      </c>
      <c r="D359" s="59">
        <f>IFERROR(INDEX(Productos!$B$5:$B$124,MATCH($C359,Productos!$A$5:$A$124,0)),"")</f>
        <v/>
      </c>
      <c r="E359" s="59">
        <f>IFERROR(INDEX(Productos!$D$5:$D$124,MATCH($C359,Productos!$A$5:$A$124,0)),"")</f>
        <v/>
      </c>
      <c r="F359" s="186" t="n">
        <v>1</v>
      </c>
      <c r="G359" s="68">
        <f>IFERROR(INDEX(Productos!$H$5:$H$124,MATCH($C359,Productos!$A$5:$A$124,0)),"")</f>
        <v/>
      </c>
      <c r="H359" s="185" t="n">
        <v>0.05</v>
      </c>
      <c r="I359" s="68">
        <f>IFERROR($G359*(1-$H359),"")</f>
        <v/>
      </c>
      <c r="J359" s="182" t="inlineStr">
        <is>
          <t>Crédito propio</t>
        </is>
      </c>
      <c r="K359" s="69">
        <f>IF($J359="",0,IF($J359="Contado",Inicio!$C$26,IF($J359="Tarjeta",Inicio!$C$27,IF($J359="Crédito propio",Inicio!$C$28,0))))</f>
        <v/>
      </c>
      <c r="L359" s="68">
        <f>IFERROR($F359*$I359,"")</f>
        <v/>
      </c>
      <c r="M359" s="68">
        <f>IFERROR($F359*INDEX(Productos!$G$5:$G$124,MATCH($C359,Productos!$A$5:$A$124,0)),"")</f>
        <v/>
      </c>
      <c r="N359" s="68">
        <f>IFERROR($L359*$K359,"")</f>
        <v/>
      </c>
      <c r="O359" s="68">
        <f>IFERROR($L359-$M359,"")</f>
        <v/>
      </c>
      <c r="P359" s="68">
        <f>IFERROR($O359-$N359,"")</f>
        <v/>
      </c>
      <c r="Q359" s="69">
        <f>IFERROR($P359/$L359,"")</f>
        <v/>
      </c>
    </row>
    <row r="360" ht="15" customHeight="1" s="47">
      <c r="A360" s="183" t="n">
        <v>46208</v>
      </c>
      <c r="B360" s="182" t="inlineStr">
        <is>
          <t>T03</t>
        </is>
      </c>
      <c r="C360" s="182" t="inlineStr">
        <is>
          <t>EL-028</t>
        </is>
      </c>
      <c r="D360" s="59">
        <f>IFERROR(INDEX(Productos!$B$5:$B$124,MATCH($C360,Productos!$A$5:$A$124,0)),"")</f>
        <v/>
      </c>
      <c r="E360" s="59">
        <f>IFERROR(INDEX(Productos!$D$5:$D$124,MATCH($C360,Productos!$A$5:$A$124,0)),"")</f>
        <v/>
      </c>
      <c r="F360" s="186" t="n">
        <v>1</v>
      </c>
      <c r="G360" s="68">
        <f>IFERROR(INDEX(Productos!$H$5:$H$124,MATCH($C360,Productos!$A$5:$A$124,0)),"")</f>
        <v/>
      </c>
      <c r="H360" s="185" t="n">
        <v>0.05</v>
      </c>
      <c r="I360" s="68">
        <f>IFERROR($G360*(1-$H360),"")</f>
        <v/>
      </c>
      <c r="J360" s="182" t="inlineStr">
        <is>
          <t>Crédito propio</t>
        </is>
      </c>
      <c r="K360" s="69">
        <f>IF($J360="",0,IF($J360="Contado",Inicio!$C$26,IF($J360="Tarjeta",Inicio!$C$27,IF($J360="Crédito propio",Inicio!$C$28,0))))</f>
        <v/>
      </c>
      <c r="L360" s="68">
        <f>IFERROR($F360*$I360,"")</f>
        <v/>
      </c>
      <c r="M360" s="68">
        <f>IFERROR($F360*INDEX(Productos!$G$5:$G$124,MATCH($C360,Productos!$A$5:$A$124,0)),"")</f>
        <v/>
      </c>
      <c r="N360" s="68">
        <f>IFERROR($L360*$K360,"")</f>
        <v/>
      </c>
      <c r="O360" s="68">
        <f>IFERROR($L360-$M360,"")</f>
        <v/>
      </c>
      <c r="P360" s="68">
        <f>IFERROR($O360-$N360,"")</f>
        <v/>
      </c>
      <c r="Q360" s="69">
        <f>IFERROR($P360/$L360,"")</f>
        <v/>
      </c>
    </row>
    <row r="361" ht="15" customHeight="1" s="47">
      <c r="A361" s="183" t="n">
        <v>46208</v>
      </c>
      <c r="B361" s="182" t="inlineStr">
        <is>
          <t>T03</t>
        </is>
      </c>
      <c r="C361" s="182" t="inlineStr">
        <is>
          <t>EL-029</t>
        </is>
      </c>
      <c r="D361" s="59">
        <f>IFERROR(INDEX(Productos!$B$5:$B$124,MATCH($C361,Productos!$A$5:$A$124,0)),"")</f>
        <v/>
      </c>
      <c r="E361" s="59">
        <f>IFERROR(INDEX(Productos!$D$5:$D$124,MATCH($C361,Productos!$A$5:$A$124,0)),"")</f>
        <v/>
      </c>
      <c r="F361" s="186" t="n">
        <v>1</v>
      </c>
      <c r="G361" s="68">
        <f>IFERROR(INDEX(Productos!$H$5:$H$124,MATCH($C361,Productos!$A$5:$A$124,0)),"")</f>
        <v/>
      </c>
      <c r="H361" s="185" t="n">
        <v>0</v>
      </c>
      <c r="I361" s="68">
        <f>IFERROR($G361*(1-$H361),"")</f>
        <v/>
      </c>
      <c r="J361" s="182" t="inlineStr">
        <is>
          <t>Crédito propio</t>
        </is>
      </c>
      <c r="K361" s="69">
        <f>IF($J361="",0,IF($J361="Contado",Inicio!$C$26,IF($J361="Tarjeta",Inicio!$C$27,IF($J361="Crédito propio",Inicio!$C$28,0))))</f>
        <v/>
      </c>
      <c r="L361" s="68">
        <f>IFERROR($F361*$I361,"")</f>
        <v/>
      </c>
      <c r="M361" s="68">
        <f>IFERROR($F361*INDEX(Productos!$G$5:$G$124,MATCH($C361,Productos!$A$5:$A$124,0)),"")</f>
        <v/>
      </c>
      <c r="N361" s="68">
        <f>IFERROR($L361*$K361,"")</f>
        <v/>
      </c>
      <c r="O361" s="68">
        <f>IFERROR($L361-$M361,"")</f>
        <v/>
      </c>
      <c r="P361" s="68">
        <f>IFERROR($O361-$N361,"")</f>
        <v/>
      </c>
      <c r="Q361" s="69">
        <f>IFERROR($P361/$L361,"")</f>
        <v/>
      </c>
    </row>
    <row r="362" ht="15" customHeight="1" s="47">
      <c r="A362" s="183" t="n">
        <v>46208</v>
      </c>
      <c r="B362" s="182" t="inlineStr">
        <is>
          <t>T03</t>
        </is>
      </c>
      <c r="C362" s="182" t="inlineStr">
        <is>
          <t>EL-030</t>
        </is>
      </c>
      <c r="D362" s="59">
        <f>IFERROR(INDEX(Productos!$B$5:$B$124,MATCH($C362,Productos!$A$5:$A$124,0)),"")</f>
        <v/>
      </c>
      <c r="E362" s="59">
        <f>IFERROR(INDEX(Productos!$D$5:$D$124,MATCH($C362,Productos!$A$5:$A$124,0)),"")</f>
        <v/>
      </c>
      <c r="F362" s="186" t="n">
        <v>2</v>
      </c>
      <c r="G362" s="68">
        <f>IFERROR(INDEX(Productos!$H$5:$H$124,MATCH($C362,Productos!$A$5:$A$124,0)),"")</f>
        <v/>
      </c>
      <c r="H362" s="185" t="n">
        <v>0</v>
      </c>
      <c r="I362" s="68">
        <f>IFERROR($G362*(1-$H362),"")</f>
        <v/>
      </c>
      <c r="J362" s="182" t="inlineStr">
        <is>
          <t>Crédito propio</t>
        </is>
      </c>
      <c r="K362" s="69">
        <f>IF($J362="",0,IF($J362="Contado",Inicio!$C$26,IF($J362="Tarjeta",Inicio!$C$27,IF($J362="Crédito propio",Inicio!$C$28,0))))</f>
        <v/>
      </c>
      <c r="L362" s="68">
        <f>IFERROR($F362*$I362,"")</f>
        <v/>
      </c>
      <c r="M362" s="68">
        <f>IFERROR($F362*INDEX(Productos!$G$5:$G$124,MATCH($C362,Productos!$A$5:$A$124,0)),"")</f>
        <v/>
      </c>
      <c r="N362" s="68">
        <f>IFERROR($L362*$K362,"")</f>
        <v/>
      </c>
      <c r="O362" s="68">
        <f>IFERROR($L362-$M362,"")</f>
        <v/>
      </c>
      <c r="P362" s="68">
        <f>IFERROR($O362-$N362,"")</f>
        <v/>
      </c>
      <c r="Q362" s="69">
        <f>IFERROR($P362/$L362,"")</f>
        <v/>
      </c>
    </row>
    <row r="363" ht="15" customHeight="1" s="47">
      <c r="A363" s="183" t="n">
        <v>46208</v>
      </c>
      <c r="B363" s="182" t="inlineStr">
        <is>
          <t>T03</t>
        </is>
      </c>
      <c r="C363" s="182" t="inlineStr">
        <is>
          <t>EL-038</t>
        </is>
      </c>
      <c r="D363" s="59">
        <f>IFERROR(INDEX(Productos!$B$5:$B$124,MATCH($C363,Productos!$A$5:$A$124,0)),"")</f>
        <v/>
      </c>
      <c r="E363" s="59">
        <f>IFERROR(INDEX(Productos!$D$5:$D$124,MATCH($C363,Productos!$A$5:$A$124,0)),"")</f>
        <v/>
      </c>
      <c r="F363" s="186" t="n">
        <v>1</v>
      </c>
      <c r="G363" s="68">
        <f>IFERROR(INDEX(Productos!$H$5:$H$124,MATCH($C363,Productos!$A$5:$A$124,0)),"")</f>
        <v/>
      </c>
      <c r="H363" s="185" t="n">
        <v>0.03</v>
      </c>
      <c r="I363" s="68">
        <f>IFERROR($G363*(1-$H363),"")</f>
        <v/>
      </c>
      <c r="J363" s="182" t="inlineStr">
        <is>
          <t>Contado</t>
        </is>
      </c>
      <c r="K363" s="69">
        <f>IF($J363="",0,IF($J363="Contado",Inicio!$C$26,IF($J363="Tarjeta",Inicio!$C$27,IF($J363="Crédito propio",Inicio!$C$28,0))))</f>
        <v/>
      </c>
      <c r="L363" s="68">
        <f>IFERROR($F363*$I363,"")</f>
        <v/>
      </c>
      <c r="M363" s="68">
        <f>IFERROR($F363*INDEX(Productos!$G$5:$G$124,MATCH($C363,Productos!$A$5:$A$124,0)),"")</f>
        <v/>
      </c>
      <c r="N363" s="68">
        <f>IFERROR($L363*$K363,"")</f>
        <v/>
      </c>
      <c r="O363" s="68">
        <f>IFERROR($L363-$M363,"")</f>
        <v/>
      </c>
      <c r="P363" s="68">
        <f>IFERROR($O363-$N363,"")</f>
        <v/>
      </c>
      <c r="Q363" s="69">
        <f>IFERROR($P363/$L363,"")</f>
        <v/>
      </c>
    </row>
    <row r="364" ht="15" customHeight="1" s="47">
      <c r="A364" s="183" t="n">
        <v>46208</v>
      </c>
      <c r="B364" s="182" t="inlineStr">
        <is>
          <t>T03</t>
        </is>
      </c>
      <c r="C364" s="182" t="inlineStr">
        <is>
          <t>EL-041</t>
        </is>
      </c>
      <c r="D364" s="59">
        <f>IFERROR(INDEX(Productos!$B$5:$B$124,MATCH($C364,Productos!$A$5:$A$124,0)),"")</f>
        <v/>
      </c>
      <c r="E364" s="59">
        <f>IFERROR(INDEX(Productos!$D$5:$D$124,MATCH($C364,Productos!$A$5:$A$124,0)),"")</f>
        <v/>
      </c>
      <c r="F364" s="186" t="n">
        <v>1</v>
      </c>
      <c r="G364" s="68">
        <f>IFERROR(INDEX(Productos!$H$5:$H$124,MATCH($C364,Productos!$A$5:$A$124,0)),"")</f>
        <v/>
      </c>
      <c r="H364" s="185" t="n">
        <v>0.07000000000000001</v>
      </c>
      <c r="I364" s="68">
        <f>IFERROR($G364*(1-$H364),"")</f>
        <v/>
      </c>
      <c r="J364" s="182" t="inlineStr">
        <is>
          <t>Contado</t>
        </is>
      </c>
      <c r="K364" s="69">
        <f>IF($J364="",0,IF($J364="Contado",Inicio!$C$26,IF($J364="Tarjeta",Inicio!$C$27,IF($J364="Crédito propio",Inicio!$C$28,0))))</f>
        <v/>
      </c>
      <c r="L364" s="68">
        <f>IFERROR($F364*$I364,"")</f>
        <v/>
      </c>
      <c r="M364" s="68">
        <f>IFERROR($F364*INDEX(Productos!$G$5:$G$124,MATCH($C364,Productos!$A$5:$A$124,0)),"")</f>
        <v/>
      </c>
      <c r="N364" s="68">
        <f>IFERROR($L364*$K364,"")</f>
        <v/>
      </c>
      <c r="O364" s="68">
        <f>IFERROR($L364-$M364,"")</f>
        <v/>
      </c>
      <c r="P364" s="68">
        <f>IFERROR($O364-$N364,"")</f>
        <v/>
      </c>
      <c r="Q364" s="69">
        <f>IFERROR($P364/$L364,"")</f>
        <v/>
      </c>
    </row>
    <row r="365" ht="15" customHeight="1" s="47">
      <c r="A365" s="183" t="n">
        <v>46208</v>
      </c>
      <c r="B365" s="182" t="inlineStr">
        <is>
          <t>T03</t>
        </is>
      </c>
      <c r="C365" s="182" t="inlineStr">
        <is>
          <t>EL-046</t>
        </is>
      </c>
      <c r="D365" s="59">
        <f>IFERROR(INDEX(Productos!$B$5:$B$124,MATCH($C365,Productos!$A$5:$A$124,0)),"")</f>
        <v/>
      </c>
      <c r="E365" s="59">
        <f>IFERROR(INDEX(Productos!$D$5:$D$124,MATCH($C365,Productos!$A$5:$A$124,0)),"")</f>
        <v/>
      </c>
      <c r="F365" s="186" t="n">
        <v>1</v>
      </c>
      <c r="G365" s="68">
        <f>IFERROR(INDEX(Productos!$H$5:$H$124,MATCH($C365,Productos!$A$5:$A$124,0)),"")</f>
        <v/>
      </c>
      <c r="H365" s="185" t="n">
        <v>0.03</v>
      </c>
      <c r="I365" s="68">
        <f>IFERROR($G365*(1-$H365),"")</f>
        <v/>
      </c>
      <c r="J365" s="182" t="inlineStr">
        <is>
          <t>Tarjeta</t>
        </is>
      </c>
      <c r="K365" s="69">
        <f>IF($J365="",0,IF($J365="Contado",Inicio!$C$26,IF($J365="Tarjeta",Inicio!$C$27,IF($J365="Crédito propio",Inicio!$C$28,0))))</f>
        <v/>
      </c>
      <c r="L365" s="68">
        <f>IFERROR($F365*$I365,"")</f>
        <v/>
      </c>
      <c r="M365" s="68">
        <f>IFERROR($F365*INDEX(Productos!$G$5:$G$124,MATCH($C365,Productos!$A$5:$A$124,0)),"")</f>
        <v/>
      </c>
      <c r="N365" s="68">
        <f>IFERROR($L365*$K365,"")</f>
        <v/>
      </c>
      <c r="O365" s="68">
        <f>IFERROR($L365-$M365,"")</f>
        <v/>
      </c>
      <c r="P365" s="68">
        <f>IFERROR($O365-$N365,"")</f>
        <v/>
      </c>
      <c r="Q365" s="69">
        <f>IFERROR($P365/$L365,"")</f>
        <v/>
      </c>
    </row>
    <row r="366" ht="15" customHeight="1" s="47">
      <c r="A366" s="183" t="n">
        <v>46208</v>
      </c>
      <c r="B366" s="182" t="inlineStr">
        <is>
          <t>T04</t>
        </is>
      </c>
      <c r="C366" s="182" t="inlineStr">
        <is>
          <t>EL-001</t>
        </is>
      </c>
      <c r="D366" s="59">
        <f>IFERROR(INDEX(Productos!$B$5:$B$124,MATCH($C366,Productos!$A$5:$A$124,0)),"")</f>
        <v/>
      </c>
      <c r="E366" s="59">
        <f>IFERROR(INDEX(Productos!$D$5:$D$124,MATCH($C366,Productos!$A$5:$A$124,0)),"")</f>
        <v/>
      </c>
      <c r="F366" s="186" t="n">
        <v>1</v>
      </c>
      <c r="G366" s="68">
        <f>IFERROR(INDEX(Productos!$H$5:$H$124,MATCH($C366,Productos!$A$5:$A$124,0)),"")</f>
        <v/>
      </c>
      <c r="H366" s="185" t="n">
        <v>0</v>
      </c>
      <c r="I366" s="68">
        <f>IFERROR($G366*(1-$H366),"")</f>
        <v/>
      </c>
      <c r="J366" s="182" t="inlineStr">
        <is>
          <t>Crédito propio</t>
        </is>
      </c>
      <c r="K366" s="69">
        <f>IF($J366="",0,IF($J366="Contado",Inicio!$C$26,IF($J366="Tarjeta",Inicio!$C$27,IF($J366="Crédito propio",Inicio!$C$28,0))))</f>
        <v/>
      </c>
      <c r="L366" s="68">
        <f>IFERROR($F366*$I366,"")</f>
        <v/>
      </c>
      <c r="M366" s="68">
        <f>IFERROR($F366*INDEX(Productos!$G$5:$G$124,MATCH($C366,Productos!$A$5:$A$124,0)),"")</f>
        <v/>
      </c>
      <c r="N366" s="68">
        <f>IFERROR($L366*$K366,"")</f>
        <v/>
      </c>
      <c r="O366" s="68">
        <f>IFERROR($L366-$M366,"")</f>
        <v/>
      </c>
      <c r="P366" s="68">
        <f>IFERROR($O366-$N366,"")</f>
        <v/>
      </c>
      <c r="Q366" s="69">
        <f>IFERROR($P366/$L366,"")</f>
        <v/>
      </c>
    </row>
    <row r="367" ht="15" customHeight="1" s="47">
      <c r="A367" s="183" t="n">
        <v>46208</v>
      </c>
      <c r="B367" s="182" t="inlineStr">
        <is>
          <t>T04</t>
        </is>
      </c>
      <c r="C367" s="182" t="inlineStr">
        <is>
          <t>EL-003</t>
        </is>
      </c>
      <c r="D367" s="59">
        <f>IFERROR(INDEX(Productos!$B$5:$B$124,MATCH($C367,Productos!$A$5:$A$124,0)),"")</f>
        <v/>
      </c>
      <c r="E367" s="59">
        <f>IFERROR(INDEX(Productos!$D$5:$D$124,MATCH($C367,Productos!$A$5:$A$124,0)),"")</f>
        <v/>
      </c>
      <c r="F367" s="186" t="n">
        <v>1</v>
      </c>
      <c r="G367" s="68">
        <f>IFERROR(INDEX(Productos!$H$5:$H$124,MATCH($C367,Productos!$A$5:$A$124,0)),"")</f>
        <v/>
      </c>
      <c r="H367" s="185" t="n">
        <v>0.03</v>
      </c>
      <c r="I367" s="68">
        <f>IFERROR($G367*(1-$H367),"")</f>
        <v/>
      </c>
      <c r="J367" s="182" t="inlineStr">
        <is>
          <t>Crédito propio</t>
        </is>
      </c>
      <c r="K367" s="69">
        <f>IF($J367="",0,IF($J367="Contado",Inicio!$C$26,IF($J367="Tarjeta",Inicio!$C$27,IF($J367="Crédito propio",Inicio!$C$28,0))))</f>
        <v/>
      </c>
      <c r="L367" s="68">
        <f>IFERROR($F367*$I367,"")</f>
        <v/>
      </c>
      <c r="M367" s="68">
        <f>IFERROR($F367*INDEX(Productos!$G$5:$G$124,MATCH($C367,Productos!$A$5:$A$124,0)),"")</f>
        <v/>
      </c>
      <c r="N367" s="68">
        <f>IFERROR($L367*$K367,"")</f>
        <v/>
      </c>
      <c r="O367" s="68">
        <f>IFERROR($L367-$M367,"")</f>
        <v/>
      </c>
      <c r="P367" s="68">
        <f>IFERROR($O367-$N367,"")</f>
        <v/>
      </c>
      <c r="Q367" s="69">
        <f>IFERROR($P367/$L367,"")</f>
        <v/>
      </c>
    </row>
    <row r="368" ht="15" customHeight="1" s="47">
      <c r="A368" s="183" t="n">
        <v>46208</v>
      </c>
      <c r="B368" s="182" t="inlineStr">
        <is>
          <t>T04</t>
        </is>
      </c>
      <c r="C368" s="182" t="inlineStr">
        <is>
          <t>EL-011</t>
        </is>
      </c>
      <c r="D368" s="59">
        <f>IFERROR(INDEX(Productos!$B$5:$B$124,MATCH($C368,Productos!$A$5:$A$124,0)),"")</f>
        <v/>
      </c>
      <c r="E368" s="59">
        <f>IFERROR(INDEX(Productos!$D$5:$D$124,MATCH($C368,Productos!$A$5:$A$124,0)),"")</f>
        <v/>
      </c>
      <c r="F368" s="186" t="n">
        <v>2</v>
      </c>
      <c r="G368" s="68">
        <f>IFERROR(INDEX(Productos!$H$5:$H$124,MATCH($C368,Productos!$A$5:$A$124,0)),"")</f>
        <v/>
      </c>
      <c r="H368" s="185" t="n">
        <v>0.07291666666666663</v>
      </c>
      <c r="I368" s="68">
        <f>IFERROR($G368*(1-$H368),"")</f>
        <v/>
      </c>
      <c r="J368" s="182" t="inlineStr">
        <is>
          <t>Contado</t>
        </is>
      </c>
      <c r="K368" s="69">
        <f>IF($J368="",0,IF($J368="Contado",Inicio!$C$26,IF($J368="Tarjeta",Inicio!$C$27,IF($J368="Crédito propio",Inicio!$C$28,0))))</f>
        <v/>
      </c>
      <c r="L368" s="68">
        <f>IFERROR($F368*$I368,"")</f>
        <v/>
      </c>
      <c r="M368" s="68">
        <f>IFERROR($F368*INDEX(Productos!$G$5:$G$124,MATCH($C368,Productos!$A$5:$A$124,0)),"")</f>
        <v/>
      </c>
      <c r="N368" s="68">
        <f>IFERROR($L368*$K368,"")</f>
        <v/>
      </c>
      <c r="O368" s="68">
        <f>IFERROR($L368-$M368,"")</f>
        <v/>
      </c>
      <c r="P368" s="68">
        <f>IFERROR($O368-$N368,"")</f>
        <v/>
      </c>
      <c r="Q368" s="69">
        <f>IFERROR($P368/$L368,"")</f>
        <v/>
      </c>
    </row>
    <row r="369" ht="15" customHeight="1" s="47">
      <c r="A369" s="183" t="n">
        <v>46208</v>
      </c>
      <c r="B369" s="182" t="inlineStr">
        <is>
          <t>T04</t>
        </is>
      </c>
      <c r="C369" s="182" t="inlineStr">
        <is>
          <t>EL-013</t>
        </is>
      </c>
      <c r="D369" s="59">
        <f>IFERROR(INDEX(Productos!$B$5:$B$124,MATCH($C369,Productos!$A$5:$A$124,0)),"")</f>
        <v/>
      </c>
      <c r="E369" s="59">
        <f>IFERROR(INDEX(Productos!$D$5:$D$124,MATCH($C369,Productos!$A$5:$A$124,0)),"")</f>
        <v/>
      </c>
      <c r="F369" s="186" t="n">
        <v>1</v>
      </c>
      <c r="G369" s="68">
        <f>IFERROR(INDEX(Productos!$H$5:$H$124,MATCH($C369,Productos!$A$5:$A$124,0)),"")</f>
        <v/>
      </c>
      <c r="H369" s="185" t="n">
        <v>0</v>
      </c>
      <c r="I369" s="68">
        <f>IFERROR($G369*(1-$H369),"")</f>
        <v/>
      </c>
      <c r="J369" s="182" t="inlineStr">
        <is>
          <t>Tarjeta</t>
        </is>
      </c>
      <c r="K369" s="69">
        <f>IF($J369="",0,IF($J369="Contado",Inicio!$C$26,IF($J369="Tarjeta",Inicio!$C$27,IF($J369="Crédito propio",Inicio!$C$28,0))))</f>
        <v/>
      </c>
      <c r="L369" s="68">
        <f>IFERROR($F369*$I369,"")</f>
        <v/>
      </c>
      <c r="M369" s="68">
        <f>IFERROR($F369*INDEX(Productos!$G$5:$G$124,MATCH($C369,Productos!$A$5:$A$124,0)),"")</f>
        <v/>
      </c>
      <c r="N369" s="68">
        <f>IFERROR($L369*$K369,"")</f>
        <v/>
      </c>
      <c r="O369" s="68">
        <f>IFERROR($L369-$M369,"")</f>
        <v/>
      </c>
      <c r="P369" s="68">
        <f>IFERROR($O369-$N369,"")</f>
        <v/>
      </c>
      <c r="Q369" s="69">
        <f>IFERROR($P369/$L369,"")</f>
        <v/>
      </c>
    </row>
    <row r="370" ht="15" customHeight="1" s="47">
      <c r="A370" s="183" t="n">
        <v>46208</v>
      </c>
      <c r="B370" s="182" t="inlineStr">
        <is>
          <t>T04</t>
        </is>
      </c>
      <c r="C370" s="182" t="inlineStr">
        <is>
          <t>EL-018</t>
        </is>
      </c>
      <c r="D370" s="59">
        <f>IFERROR(INDEX(Productos!$B$5:$B$124,MATCH($C370,Productos!$A$5:$A$124,0)),"")</f>
        <v/>
      </c>
      <c r="E370" s="59">
        <f>IFERROR(INDEX(Productos!$D$5:$D$124,MATCH($C370,Productos!$A$5:$A$124,0)),"")</f>
        <v/>
      </c>
      <c r="F370" s="186" t="n">
        <v>1</v>
      </c>
      <c r="G370" s="68">
        <f>IFERROR(INDEX(Productos!$H$5:$H$124,MATCH($C370,Productos!$A$5:$A$124,0)),"")</f>
        <v/>
      </c>
      <c r="H370" s="185" t="n">
        <v>0.07377049180327866</v>
      </c>
      <c r="I370" s="68">
        <f>IFERROR($G370*(1-$H370),"")</f>
        <v/>
      </c>
      <c r="J370" s="182" t="inlineStr">
        <is>
          <t>Tarjeta</t>
        </is>
      </c>
      <c r="K370" s="69">
        <f>IF($J370="",0,IF($J370="Contado",Inicio!$C$26,IF($J370="Tarjeta",Inicio!$C$27,IF($J370="Crédito propio",Inicio!$C$28,0))))</f>
        <v/>
      </c>
      <c r="L370" s="68">
        <f>IFERROR($F370*$I370,"")</f>
        <v/>
      </c>
      <c r="M370" s="68">
        <f>IFERROR($F370*INDEX(Productos!$G$5:$G$124,MATCH($C370,Productos!$A$5:$A$124,0)),"")</f>
        <v/>
      </c>
      <c r="N370" s="68">
        <f>IFERROR($L370*$K370,"")</f>
        <v/>
      </c>
      <c r="O370" s="68">
        <f>IFERROR($L370-$M370,"")</f>
        <v/>
      </c>
      <c r="P370" s="68">
        <f>IFERROR($O370-$N370,"")</f>
        <v/>
      </c>
      <c r="Q370" s="69">
        <f>IFERROR($P370/$L370,"")</f>
        <v/>
      </c>
    </row>
    <row r="371" ht="15" customHeight="1" s="47">
      <c r="A371" s="183" t="n">
        <v>46208</v>
      </c>
      <c r="B371" s="182" t="inlineStr">
        <is>
          <t>T04</t>
        </is>
      </c>
      <c r="C371" s="182" t="inlineStr">
        <is>
          <t>EL-020</t>
        </is>
      </c>
      <c r="D371" s="59">
        <f>IFERROR(INDEX(Productos!$B$5:$B$124,MATCH($C371,Productos!$A$5:$A$124,0)),"")</f>
        <v/>
      </c>
      <c r="E371" s="59">
        <f>IFERROR(INDEX(Productos!$D$5:$D$124,MATCH($C371,Productos!$A$5:$A$124,0)),"")</f>
        <v/>
      </c>
      <c r="F371" s="186" t="n">
        <v>1</v>
      </c>
      <c r="G371" s="68">
        <f>IFERROR(INDEX(Productos!$H$5:$H$124,MATCH($C371,Productos!$A$5:$A$124,0)),"")</f>
        <v/>
      </c>
      <c r="H371" s="185" t="n">
        <v>0</v>
      </c>
      <c r="I371" s="68">
        <f>IFERROR($G371*(1-$H371),"")</f>
        <v/>
      </c>
      <c r="J371" s="182" t="inlineStr">
        <is>
          <t>Tarjeta</t>
        </is>
      </c>
      <c r="K371" s="69">
        <f>IF($J371="",0,IF($J371="Contado",Inicio!$C$26,IF($J371="Tarjeta",Inicio!$C$27,IF($J371="Crédito propio",Inicio!$C$28,0))))</f>
        <v/>
      </c>
      <c r="L371" s="68">
        <f>IFERROR($F371*$I371,"")</f>
        <v/>
      </c>
      <c r="M371" s="68">
        <f>IFERROR($F371*INDEX(Productos!$G$5:$G$124,MATCH($C371,Productos!$A$5:$A$124,0)),"")</f>
        <v/>
      </c>
      <c r="N371" s="68">
        <f>IFERROR($L371*$K371,"")</f>
        <v/>
      </c>
      <c r="O371" s="68">
        <f>IFERROR($L371-$M371,"")</f>
        <v/>
      </c>
      <c r="P371" s="68">
        <f>IFERROR($O371-$N371,"")</f>
        <v/>
      </c>
      <c r="Q371" s="69">
        <f>IFERROR($P371/$L371,"")</f>
        <v/>
      </c>
    </row>
    <row r="372" ht="15" customHeight="1" s="47">
      <c r="A372" s="183" t="n">
        <v>46208</v>
      </c>
      <c r="B372" s="182" t="inlineStr">
        <is>
          <t>T04</t>
        </is>
      </c>
      <c r="C372" s="182" t="inlineStr">
        <is>
          <t>EL-025</t>
        </is>
      </c>
      <c r="D372" s="59">
        <f>IFERROR(INDEX(Productos!$B$5:$B$124,MATCH($C372,Productos!$A$5:$A$124,0)),"")</f>
        <v/>
      </c>
      <c r="E372" s="59">
        <f>IFERROR(INDEX(Productos!$D$5:$D$124,MATCH($C372,Productos!$A$5:$A$124,0)),"")</f>
        <v/>
      </c>
      <c r="F372" s="186" t="n">
        <v>2</v>
      </c>
      <c r="G372" s="68">
        <f>IFERROR(INDEX(Productos!$H$5:$H$124,MATCH($C372,Productos!$A$5:$A$124,0)),"")</f>
        <v/>
      </c>
      <c r="H372" s="185" t="n">
        <v>0.05</v>
      </c>
      <c r="I372" s="68">
        <f>IFERROR($G372*(1-$H372),"")</f>
        <v/>
      </c>
      <c r="J372" s="182" t="inlineStr">
        <is>
          <t>Tarjeta</t>
        </is>
      </c>
      <c r="K372" s="69">
        <f>IF($J372="",0,IF($J372="Contado",Inicio!$C$26,IF($J372="Tarjeta",Inicio!$C$27,IF($J372="Crédito propio",Inicio!$C$28,0))))</f>
        <v/>
      </c>
      <c r="L372" s="68">
        <f>IFERROR($F372*$I372,"")</f>
        <v/>
      </c>
      <c r="M372" s="68">
        <f>IFERROR($F372*INDEX(Productos!$G$5:$G$124,MATCH($C372,Productos!$A$5:$A$124,0)),"")</f>
        <v/>
      </c>
      <c r="N372" s="68">
        <f>IFERROR($L372*$K372,"")</f>
        <v/>
      </c>
      <c r="O372" s="68">
        <f>IFERROR($L372-$M372,"")</f>
        <v/>
      </c>
      <c r="P372" s="68">
        <f>IFERROR($O372-$N372,"")</f>
        <v/>
      </c>
      <c r="Q372" s="69">
        <f>IFERROR($P372/$L372,"")</f>
        <v/>
      </c>
    </row>
    <row r="373" ht="15" customHeight="1" s="47">
      <c r="A373" s="183" t="n">
        <v>46208</v>
      </c>
      <c r="B373" s="182" t="inlineStr">
        <is>
          <t>T04</t>
        </is>
      </c>
      <c r="C373" s="182" t="inlineStr">
        <is>
          <t>EL-039</t>
        </is>
      </c>
      <c r="D373" s="59">
        <f>IFERROR(INDEX(Productos!$B$5:$B$124,MATCH($C373,Productos!$A$5:$A$124,0)),"")</f>
        <v/>
      </c>
      <c r="E373" s="59">
        <f>IFERROR(INDEX(Productos!$D$5:$D$124,MATCH($C373,Productos!$A$5:$A$124,0)),"")</f>
        <v/>
      </c>
      <c r="F373" s="186" t="n">
        <v>1</v>
      </c>
      <c r="G373" s="68">
        <f>IFERROR(INDEX(Productos!$H$5:$H$124,MATCH($C373,Productos!$A$5:$A$124,0)),"")</f>
        <v/>
      </c>
      <c r="H373" s="185" t="n">
        <v>0</v>
      </c>
      <c r="I373" s="68">
        <f>IFERROR($G373*(1-$H373),"")</f>
        <v/>
      </c>
      <c r="J373" s="182" t="inlineStr">
        <is>
          <t>Tarjeta</t>
        </is>
      </c>
      <c r="K373" s="69">
        <f>IF($J373="",0,IF($J373="Contado",Inicio!$C$26,IF($J373="Tarjeta",Inicio!$C$27,IF($J373="Crédito propio",Inicio!$C$28,0))))</f>
        <v/>
      </c>
      <c r="L373" s="68">
        <f>IFERROR($F373*$I373,"")</f>
        <v/>
      </c>
      <c r="M373" s="68">
        <f>IFERROR($F373*INDEX(Productos!$G$5:$G$124,MATCH($C373,Productos!$A$5:$A$124,0)),"")</f>
        <v/>
      </c>
      <c r="N373" s="68">
        <f>IFERROR($L373*$K373,"")</f>
        <v/>
      </c>
      <c r="O373" s="68">
        <f>IFERROR($L373-$M373,"")</f>
        <v/>
      </c>
      <c r="P373" s="68">
        <f>IFERROR($O373-$N373,"")</f>
        <v/>
      </c>
      <c r="Q373" s="69">
        <f>IFERROR($P373/$L373,"")</f>
        <v/>
      </c>
    </row>
    <row r="374" ht="15" customHeight="1" s="47">
      <c r="A374" s="183" t="n">
        <v>46208</v>
      </c>
      <c r="B374" s="182" t="inlineStr">
        <is>
          <t>T04</t>
        </is>
      </c>
      <c r="C374" s="182" t="inlineStr">
        <is>
          <t>EL-044</t>
        </is>
      </c>
      <c r="D374" s="59">
        <f>IFERROR(INDEX(Productos!$B$5:$B$124,MATCH($C374,Productos!$A$5:$A$124,0)),"")</f>
        <v/>
      </c>
      <c r="E374" s="59">
        <f>IFERROR(INDEX(Productos!$D$5:$D$124,MATCH($C374,Productos!$A$5:$A$124,0)),"")</f>
        <v/>
      </c>
      <c r="F374" s="186" t="n">
        <v>1</v>
      </c>
      <c r="G374" s="68">
        <f>IFERROR(INDEX(Productos!$H$5:$H$124,MATCH($C374,Productos!$A$5:$A$124,0)),"")</f>
        <v/>
      </c>
      <c r="H374" s="185" t="n">
        <v>0.06870229007633588</v>
      </c>
      <c r="I374" s="68">
        <f>IFERROR($G374*(1-$H374),"")</f>
        <v/>
      </c>
      <c r="J374" s="182" t="inlineStr">
        <is>
          <t>Tarjeta</t>
        </is>
      </c>
      <c r="K374" s="69">
        <f>IF($J374="",0,IF($J374="Contado",Inicio!$C$26,IF($J374="Tarjeta",Inicio!$C$27,IF($J374="Crédito propio",Inicio!$C$28,0))))</f>
        <v/>
      </c>
      <c r="L374" s="68">
        <f>IFERROR($F374*$I374,"")</f>
        <v/>
      </c>
      <c r="M374" s="68">
        <f>IFERROR($F374*INDEX(Productos!$G$5:$G$124,MATCH($C374,Productos!$A$5:$A$124,0)),"")</f>
        <v/>
      </c>
      <c r="N374" s="68">
        <f>IFERROR($L374*$K374,"")</f>
        <v/>
      </c>
      <c r="O374" s="68">
        <f>IFERROR($L374-$M374,"")</f>
        <v/>
      </c>
      <c r="P374" s="68">
        <f>IFERROR($O374-$N374,"")</f>
        <v/>
      </c>
      <c r="Q374" s="69">
        <f>IFERROR($P374/$L374,"")</f>
        <v/>
      </c>
    </row>
    <row r="375" ht="15" customHeight="1" s="47">
      <c r="A375" s="183" t="n">
        <v>46208</v>
      </c>
      <c r="B375" s="182" t="inlineStr">
        <is>
          <t>T05</t>
        </is>
      </c>
      <c r="C375" s="182" t="inlineStr">
        <is>
          <t>EL-001</t>
        </is>
      </c>
      <c r="D375" s="59">
        <f>IFERROR(INDEX(Productos!$B$5:$B$124,MATCH($C375,Productos!$A$5:$A$124,0)),"")</f>
        <v/>
      </c>
      <c r="E375" s="59">
        <f>IFERROR(INDEX(Productos!$D$5:$D$124,MATCH($C375,Productos!$A$5:$A$124,0)),"")</f>
        <v/>
      </c>
      <c r="F375" s="186" t="n">
        <v>2</v>
      </c>
      <c r="G375" s="68">
        <f>IFERROR(INDEX(Productos!$H$5:$H$124,MATCH($C375,Productos!$A$5:$A$124,0)),"")</f>
        <v/>
      </c>
      <c r="H375" s="185" t="n">
        <v>0</v>
      </c>
      <c r="I375" s="68">
        <f>IFERROR($G375*(1-$H375),"")</f>
        <v/>
      </c>
      <c r="J375" s="182" t="inlineStr">
        <is>
          <t>Crédito propio</t>
        </is>
      </c>
      <c r="K375" s="69">
        <f>IF($J375="",0,IF($J375="Contado",Inicio!$C$26,IF($J375="Tarjeta",Inicio!$C$27,IF($J375="Crédito propio",Inicio!$C$28,0))))</f>
        <v/>
      </c>
      <c r="L375" s="68">
        <f>IFERROR($F375*$I375,"")</f>
        <v/>
      </c>
      <c r="M375" s="68">
        <f>IFERROR($F375*INDEX(Productos!$G$5:$G$124,MATCH($C375,Productos!$A$5:$A$124,0)),"")</f>
        <v/>
      </c>
      <c r="N375" s="68">
        <f>IFERROR($L375*$K375,"")</f>
        <v/>
      </c>
      <c r="O375" s="68">
        <f>IFERROR($L375-$M375,"")</f>
        <v/>
      </c>
      <c r="P375" s="68">
        <f>IFERROR($O375-$N375,"")</f>
        <v/>
      </c>
      <c r="Q375" s="69">
        <f>IFERROR($P375/$L375,"")</f>
        <v/>
      </c>
    </row>
    <row r="376" ht="15" customHeight="1" s="47">
      <c r="A376" s="183" t="n">
        <v>46208</v>
      </c>
      <c r="B376" s="182" t="inlineStr">
        <is>
          <t>T05</t>
        </is>
      </c>
      <c r="C376" s="182" t="inlineStr">
        <is>
          <t>EL-011</t>
        </is>
      </c>
      <c r="D376" s="59">
        <f>IFERROR(INDEX(Productos!$B$5:$B$124,MATCH($C376,Productos!$A$5:$A$124,0)),"")</f>
        <v/>
      </c>
      <c r="E376" s="59">
        <f>IFERROR(INDEX(Productos!$D$5:$D$124,MATCH($C376,Productos!$A$5:$A$124,0)),"")</f>
        <v/>
      </c>
      <c r="F376" s="186" t="n">
        <v>1</v>
      </c>
      <c r="G376" s="68">
        <f>IFERROR(INDEX(Productos!$H$5:$H$124,MATCH($C376,Productos!$A$5:$A$124,0)),"")</f>
        <v/>
      </c>
      <c r="H376" s="185" t="n">
        <v>0</v>
      </c>
      <c r="I376" s="68">
        <f>IFERROR($G376*(1-$H376),"")</f>
        <v/>
      </c>
      <c r="J376" s="182" t="inlineStr">
        <is>
          <t>Contado</t>
        </is>
      </c>
      <c r="K376" s="69">
        <f>IF($J376="",0,IF($J376="Contado",Inicio!$C$26,IF($J376="Tarjeta",Inicio!$C$27,IF($J376="Crédito propio",Inicio!$C$28,0))))</f>
        <v/>
      </c>
      <c r="L376" s="68">
        <f>IFERROR($F376*$I376,"")</f>
        <v/>
      </c>
      <c r="M376" s="68">
        <f>IFERROR($F376*INDEX(Productos!$G$5:$G$124,MATCH($C376,Productos!$A$5:$A$124,0)),"")</f>
        <v/>
      </c>
      <c r="N376" s="68">
        <f>IFERROR($L376*$K376,"")</f>
        <v/>
      </c>
      <c r="O376" s="68">
        <f>IFERROR($L376-$M376,"")</f>
        <v/>
      </c>
      <c r="P376" s="68">
        <f>IFERROR($O376-$N376,"")</f>
        <v/>
      </c>
      <c r="Q376" s="69">
        <f>IFERROR($P376/$L376,"")</f>
        <v/>
      </c>
    </row>
    <row r="377" ht="15" customHeight="1" s="47">
      <c r="A377" s="183" t="n">
        <v>46208</v>
      </c>
      <c r="B377" s="182" t="inlineStr">
        <is>
          <t>T05</t>
        </is>
      </c>
      <c r="C377" s="182" t="inlineStr">
        <is>
          <t>EL-016</t>
        </is>
      </c>
      <c r="D377" s="59">
        <f>IFERROR(INDEX(Productos!$B$5:$B$124,MATCH($C377,Productos!$A$5:$A$124,0)),"")</f>
        <v/>
      </c>
      <c r="E377" s="59">
        <f>IFERROR(INDEX(Productos!$D$5:$D$124,MATCH($C377,Productos!$A$5:$A$124,0)),"")</f>
        <v/>
      </c>
      <c r="F377" s="186" t="n">
        <v>1</v>
      </c>
      <c r="G377" s="68">
        <f>IFERROR(INDEX(Productos!$H$5:$H$124,MATCH($C377,Productos!$A$5:$A$124,0)),"")</f>
        <v/>
      </c>
      <c r="H377" s="185" t="n">
        <v>0</v>
      </c>
      <c r="I377" s="68">
        <f>IFERROR($G377*(1-$H377),"")</f>
        <v/>
      </c>
      <c r="J377" s="182" t="inlineStr">
        <is>
          <t>Tarjeta</t>
        </is>
      </c>
      <c r="K377" s="69">
        <f>IF($J377="",0,IF($J377="Contado",Inicio!$C$26,IF($J377="Tarjeta",Inicio!$C$27,IF($J377="Crédito propio",Inicio!$C$28,0))))</f>
        <v/>
      </c>
      <c r="L377" s="68">
        <f>IFERROR($F377*$I377,"")</f>
        <v/>
      </c>
      <c r="M377" s="68">
        <f>IFERROR($F377*INDEX(Productos!$G$5:$G$124,MATCH($C377,Productos!$A$5:$A$124,0)),"")</f>
        <v/>
      </c>
      <c r="N377" s="68">
        <f>IFERROR($L377*$K377,"")</f>
        <v/>
      </c>
      <c r="O377" s="68">
        <f>IFERROR($L377-$M377,"")</f>
        <v/>
      </c>
      <c r="P377" s="68">
        <f>IFERROR($O377-$N377,"")</f>
        <v/>
      </c>
      <c r="Q377" s="69">
        <f>IFERROR($P377/$L377,"")</f>
        <v/>
      </c>
    </row>
    <row r="378" ht="15" customHeight="1" s="47">
      <c r="A378" s="183" t="n">
        <v>46208</v>
      </c>
      <c r="B378" s="182" t="inlineStr">
        <is>
          <t>T05</t>
        </is>
      </c>
      <c r="C378" s="182" t="inlineStr">
        <is>
          <t>EL-018</t>
        </is>
      </c>
      <c r="D378" s="59">
        <f>IFERROR(INDEX(Productos!$B$5:$B$124,MATCH($C378,Productos!$A$5:$A$124,0)),"")</f>
        <v/>
      </c>
      <c r="E378" s="59">
        <f>IFERROR(INDEX(Productos!$D$5:$D$124,MATCH($C378,Productos!$A$5:$A$124,0)),"")</f>
        <v/>
      </c>
      <c r="F378" s="186" t="n">
        <v>1</v>
      </c>
      <c r="G378" s="68">
        <f>IFERROR(INDEX(Productos!$H$5:$H$124,MATCH($C378,Productos!$A$5:$A$124,0)),"")</f>
        <v/>
      </c>
      <c r="H378" s="185" t="n">
        <v>0.03</v>
      </c>
      <c r="I378" s="68">
        <f>IFERROR($G378*(1-$H378),"")</f>
        <v/>
      </c>
      <c r="J378" s="182" t="inlineStr">
        <is>
          <t>Crédito propio</t>
        </is>
      </c>
      <c r="K378" s="69">
        <f>IF($J378="",0,IF($J378="Contado",Inicio!$C$26,IF($J378="Tarjeta",Inicio!$C$27,IF($J378="Crédito propio",Inicio!$C$28,0))))</f>
        <v/>
      </c>
      <c r="L378" s="68">
        <f>IFERROR($F378*$I378,"")</f>
        <v/>
      </c>
      <c r="M378" s="68">
        <f>IFERROR($F378*INDEX(Productos!$G$5:$G$124,MATCH($C378,Productos!$A$5:$A$124,0)),"")</f>
        <v/>
      </c>
      <c r="N378" s="68">
        <f>IFERROR($L378*$K378,"")</f>
        <v/>
      </c>
      <c r="O378" s="68">
        <f>IFERROR($L378-$M378,"")</f>
        <v/>
      </c>
      <c r="P378" s="68">
        <f>IFERROR($O378-$N378,"")</f>
        <v/>
      </c>
      <c r="Q378" s="69">
        <f>IFERROR($P378/$L378,"")</f>
        <v/>
      </c>
    </row>
    <row r="379" ht="15" customHeight="1" s="47">
      <c r="A379" s="183" t="n">
        <v>46208</v>
      </c>
      <c r="B379" s="182" t="inlineStr">
        <is>
          <t>T05</t>
        </is>
      </c>
      <c r="C379" s="182" t="inlineStr">
        <is>
          <t>EL-020</t>
        </is>
      </c>
      <c r="D379" s="59">
        <f>IFERROR(INDEX(Productos!$B$5:$B$124,MATCH($C379,Productos!$A$5:$A$124,0)),"")</f>
        <v/>
      </c>
      <c r="E379" s="59">
        <f>IFERROR(INDEX(Productos!$D$5:$D$124,MATCH($C379,Productos!$A$5:$A$124,0)),"")</f>
        <v/>
      </c>
      <c r="F379" s="186" t="n">
        <v>1</v>
      </c>
      <c r="G379" s="68">
        <f>IFERROR(INDEX(Productos!$H$5:$H$124,MATCH($C379,Productos!$A$5:$A$124,0)),"")</f>
        <v/>
      </c>
      <c r="H379" s="185" t="n">
        <v>0.06896551724137934</v>
      </c>
      <c r="I379" s="68">
        <f>IFERROR($G379*(1-$H379),"")</f>
        <v/>
      </c>
      <c r="J379" s="182" t="inlineStr">
        <is>
          <t>Contado</t>
        </is>
      </c>
      <c r="K379" s="69">
        <f>IF($J379="",0,IF($J379="Contado",Inicio!$C$26,IF($J379="Tarjeta",Inicio!$C$27,IF($J379="Crédito propio",Inicio!$C$28,0))))</f>
        <v/>
      </c>
      <c r="L379" s="68">
        <f>IFERROR($F379*$I379,"")</f>
        <v/>
      </c>
      <c r="M379" s="68">
        <f>IFERROR($F379*INDEX(Productos!$G$5:$G$124,MATCH($C379,Productos!$A$5:$A$124,0)),"")</f>
        <v/>
      </c>
      <c r="N379" s="68">
        <f>IFERROR($L379*$K379,"")</f>
        <v/>
      </c>
      <c r="O379" s="68">
        <f>IFERROR($L379-$M379,"")</f>
        <v/>
      </c>
      <c r="P379" s="68">
        <f>IFERROR($O379-$N379,"")</f>
        <v/>
      </c>
      <c r="Q379" s="69">
        <f>IFERROR($P379/$L379,"")</f>
        <v/>
      </c>
    </row>
    <row r="380" ht="15" customHeight="1" s="47">
      <c r="A380" s="183" t="n">
        <v>46208</v>
      </c>
      <c r="B380" s="182" t="inlineStr">
        <is>
          <t>T05</t>
        </is>
      </c>
      <c r="C380" s="182" t="inlineStr">
        <is>
          <t>EL-024</t>
        </is>
      </c>
      <c r="D380" s="59">
        <f>IFERROR(INDEX(Productos!$B$5:$B$124,MATCH($C380,Productos!$A$5:$A$124,0)),"")</f>
        <v/>
      </c>
      <c r="E380" s="59">
        <f>IFERROR(INDEX(Productos!$D$5:$D$124,MATCH($C380,Productos!$A$5:$A$124,0)),"")</f>
        <v/>
      </c>
      <c r="F380" s="186" t="n">
        <v>1</v>
      </c>
      <c r="G380" s="68">
        <f>IFERROR(INDEX(Productos!$H$5:$H$124,MATCH($C380,Productos!$A$5:$A$124,0)),"")</f>
        <v/>
      </c>
      <c r="H380" s="185" t="n">
        <v>0.07070707070707072</v>
      </c>
      <c r="I380" s="68">
        <f>IFERROR($G380*(1-$H380),"")</f>
        <v/>
      </c>
      <c r="J380" s="182" t="inlineStr">
        <is>
          <t>Crédito propio</t>
        </is>
      </c>
      <c r="K380" s="69">
        <f>IF($J380="",0,IF($J380="Contado",Inicio!$C$26,IF($J380="Tarjeta",Inicio!$C$27,IF($J380="Crédito propio",Inicio!$C$28,0))))</f>
        <v/>
      </c>
      <c r="L380" s="68">
        <f>IFERROR($F380*$I380,"")</f>
        <v/>
      </c>
      <c r="M380" s="68">
        <f>IFERROR($F380*INDEX(Productos!$G$5:$G$124,MATCH($C380,Productos!$A$5:$A$124,0)),"")</f>
        <v/>
      </c>
      <c r="N380" s="68">
        <f>IFERROR($L380*$K380,"")</f>
        <v/>
      </c>
      <c r="O380" s="68">
        <f>IFERROR($L380-$M380,"")</f>
        <v/>
      </c>
      <c r="P380" s="68">
        <f>IFERROR($O380-$N380,"")</f>
        <v/>
      </c>
      <c r="Q380" s="69">
        <f>IFERROR($P380/$L380,"")</f>
        <v/>
      </c>
    </row>
    <row r="381" ht="15" customHeight="1" s="47">
      <c r="A381" s="183" t="n">
        <v>46208</v>
      </c>
      <c r="B381" s="182" t="inlineStr">
        <is>
          <t>T05</t>
        </is>
      </c>
      <c r="C381" s="182" t="inlineStr">
        <is>
          <t>EL-026</t>
        </is>
      </c>
      <c r="D381" s="59">
        <f>IFERROR(INDEX(Productos!$B$5:$B$124,MATCH($C381,Productos!$A$5:$A$124,0)),"")</f>
        <v/>
      </c>
      <c r="E381" s="59">
        <f>IFERROR(INDEX(Productos!$D$5:$D$124,MATCH($C381,Productos!$A$5:$A$124,0)),"")</f>
        <v/>
      </c>
      <c r="F381" s="186" t="n">
        <v>1</v>
      </c>
      <c r="G381" s="68">
        <f>IFERROR(INDEX(Productos!$H$5:$H$124,MATCH($C381,Productos!$A$5:$A$124,0)),"")</f>
        <v/>
      </c>
      <c r="H381" s="185" t="n">
        <v>0.06837606837606836</v>
      </c>
      <c r="I381" s="68">
        <f>IFERROR($G381*(1-$H381),"")</f>
        <v/>
      </c>
      <c r="J381" s="182" t="inlineStr">
        <is>
          <t>Tarjeta</t>
        </is>
      </c>
      <c r="K381" s="69">
        <f>IF($J381="",0,IF($J381="Contado",Inicio!$C$26,IF($J381="Tarjeta",Inicio!$C$27,IF($J381="Crédito propio",Inicio!$C$28,0))))</f>
        <v/>
      </c>
      <c r="L381" s="68">
        <f>IFERROR($F381*$I381,"")</f>
        <v/>
      </c>
      <c r="M381" s="68">
        <f>IFERROR($F381*INDEX(Productos!$G$5:$G$124,MATCH($C381,Productos!$A$5:$A$124,0)),"")</f>
        <v/>
      </c>
      <c r="N381" s="68">
        <f>IFERROR($L381*$K381,"")</f>
        <v/>
      </c>
      <c r="O381" s="68">
        <f>IFERROR($L381-$M381,"")</f>
        <v/>
      </c>
      <c r="P381" s="68">
        <f>IFERROR($O381-$N381,"")</f>
        <v/>
      </c>
      <c r="Q381" s="69">
        <f>IFERROR($P381/$L381,"")</f>
        <v/>
      </c>
    </row>
    <row r="382" ht="15" customHeight="1" s="47">
      <c r="A382" s="183" t="n">
        <v>46208</v>
      </c>
      <c r="B382" s="182" t="inlineStr">
        <is>
          <t>T05</t>
        </is>
      </c>
      <c r="C382" s="182" t="inlineStr">
        <is>
          <t>EL-030</t>
        </is>
      </c>
      <c r="D382" s="59">
        <f>IFERROR(INDEX(Productos!$B$5:$B$124,MATCH($C382,Productos!$A$5:$A$124,0)),"")</f>
        <v/>
      </c>
      <c r="E382" s="59">
        <f>IFERROR(INDEX(Productos!$D$5:$D$124,MATCH($C382,Productos!$A$5:$A$124,0)),"")</f>
        <v/>
      </c>
      <c r="F382" s="186" t="n">
        <v>1</v>
      </c>
      <c r="G382" s="68">
        <f>IFERROR(INDEX(Productos!$H$5:$H$124,MATCH($C382,Productos!$A$5:$A$124,0)),"")</f>
        <v/>
      </c>
      <c r="H382" s="185" t="n">
        <v>0</v>
      </c>
      <c r="I382" s="68">
        <f>IFERROR($G382*(1-$H382),"")</f>
        <v/>
      </c>
      <c r="J382" s="182" t="inlineStr">
        <is>
          <t>Contado</t>
        </is>
      </c>
      <c r="K382" s="69">
        <f>IF($J382="",0,IF($J382="Contado",Inicio!$C$26,IF($J382="Tarjeta",Inicio!$C$27,IF($J382="Crédito propio",Inicio!$C$28,0))))</f>
        <v/>
      </c>
      <c r="L382" s="68">
        <f>IFERROR($F382*$I382,"")</f>
        <v/>
      </c>
      <c r="M382" s="68">
        <f>IFERROR($F382*INDEX(Productos!$G$5:$G$124,MATCH($C382,Productos!$A$5:$A$124,0)),"")</f>
        <v/>
      </c>
      <c r="N382" s="68">
        <f>IFERROR($L382*$K382,"")</f>
        <v/>
      </c>
      <c r="O382" s="68">
        <f>IFERROR($L382-$M382,"")</f>
        <v/>
      </c>
      <c r="P382" s="68">
        <f>IFERROR($O382-$N382,"")</f>
        <v/>
      </c>
      <c r="Q382" s="69">
        <f>IFERROR($P382/$L382,"")</f>
        <v/>
      </c>
    </row>
    <row r="383" ht="15" customHeight="1" s="47">
      <c r="A383" s="183" t="n">
        <v>46208</v>
      </c>
      <c r="B383" s="182" t="inlineStr">
        <is>
          <t>T05</t>
        </is>
      </c>
      <c r="C383" s="182" t="inlineStr">
        <is>
          <t>EL-038</t>
        </is>
      </c>
      <c r="D383" s="59">
        <f>IFERROR(INDEX(Productos!$B$5:$B$124,MATCH($C383,Productos!$A$5:$A$124,0)),"")</f>
        <v/>
      </c>
      <c r="E383" s="59">
        <f>IFERROR(INDEX(Productos!$D$5:$D$124,MATCH($C383,Productos!$A$5:$A$124,0)),"")</f>
        <v/>
      </c>
      <c r="F383" s="186" t="n">
        <v>1</v>
      </c>
      <c r="G383" s="68">
        <f>IFERROR(INDEX(Productos!$H$5:$H$124,MATCH($C383,Productos!$A$5:$A$124,0)),"")</f>
        <v/>
      </c>
      <c r="H383" s="185" t="n">
        <v>0</v>
      </c>
      <c r="I383" s="68">
        <f>IFERROR($G383*(1-$H383),"")</f>
        <v/>
      </c>
      <c r="J383" s="182" t="inlineStr">
        <is>
          <t>Crédito propio</t>
        </is>
      </c>
      <c r="K383" s="69">
        <f>IF($J383="",0,IF($J383="Contado",Inicio!$C$26,IF($J383="Tarjeta",Inicio!$C$27,IF($J383="Crédito propio",Inicio!$C$28,0))))</f>
        <v/>
      </c>
      <c r="L383" s="68">
        <f>IFERROR($F383*$I383,"")</f>
        <v/>
      </c>
      <c r="M383" s="68">
        <f>IFERROR($F383*INDEX(Productos!$G$5:$G$124,MATCH($C383,Productos!$A$5:$A$124,0)),"")</f>
        <v/>
      </c>
      <c r="N383" s="68">
        <f>IFERROR($L383*$K383,"")</f>
        <v/>
      </c>
      <c r="O383" s="68">
        <f>IFERROR($L383-$M383,"")</f>
        <v/>
      </c>
      <c r="P383" s="68">
        <f>IFERROR($O383-$N383,"")</f>
        <v/>
      </c>
      <c r="Q383" s="69">
        <f>IFERROR($P383/$L383,"")</f>
        <v/>
      </c>
    </row>
    <row r="384" ht="15" customHeight="1" s="47">
      <c r="A384" s="183" t="n">
        <v>46208</v>
      </c>
      <c r="B384" s="182" t="inlineStr">
        <is>
          <t>T06</t>
        </is>
      </c>
      <c r="C384" s="182" t="inlineStr">
        <is>
          <t>EL-006</t>
        </is>
      </c>
      <c r="D384" s="59">
        <f>IFERROR(INDEX(Productos!$B$5:$B$124,MATCH($C384,Productos!$A$5:$A$124,0)),"")</f>
        <v/>
      </c>
      <c r="E384" s="59">
        <f>IFERROR(INDEX(Productos!$D$5:$D$124,MATCH($C384,Productos!$A$5:$A$124,0)),"")</f>
        <v/>
      </c>
      <c r="F384" s="186" t="n">
        <v>1</v>
      </c>
      <c r="G384" s="68">
        <f>IFERROR(INDEX(Productos!$H$5:$H$124,MATCH($C384,Productos!$A$5:$A$124,0)),"")</f>
        <v/>
      </c>
      <c r="H384" s="185" t="n">
        <v>0.05</v>
      </c>
      <c r="I384" s="68">
        <f>IFERROR($G384*(1-$H384),"")</f>
        <v/>
      </c>
      <c r="J384" s="182" t="inlineStr">
        <is>
          <t>Tarjeta</t>
        </is>
      </c>
      <c r="K384" s="69">
        <f>IF($J384="",0,IF($J384="Contado",Inicio!$C$26,IF($J384="Tarjeta",Inicio!$C$27,IF($J384="Crédito propio",Inicio!$C$28,0))))</f>
        <v/>
      </c>
      <c r="L384" s="68">
        <f>IFERROR($F384*$I384,"")</f>
        <v/>
      </c>
      <c r="M384" s="68">
        <f>IFERROR($F384*INDEX(Productos!$G$5:$G$124,MATCH($C384,Productos!$A$5:$A$124,0)),"")</f>
        <v/>
      </c>
      <c r="N384" s="68">
        <f>IFERROR($L384*$K384,"")</f>
        <v/>
      </c>
      <c r="O384" s="68">
        <f>IFERROR($L384-$M384,"")</f>
        <v/>
      </c>
      <c r="P384" s="68">
        <f>IFERROR($O384-$N384,"")</f>
        <v/>
      </c>
      <c r="Q384" s="69">
        <f>IFERROR($P384/$L384,"")</f>
        <v/>
      </c>
    </row>
    <row r="385" ht="15" customHeight="1" s="47">
      <c r="A385" s="183" t="n">
        <v>46208</v>
      </c>
      <c r="B385" s="182" t="inlineStr">
        <is>
          <t>T06</t>
        </is>
      </c>
      <c r="C385" s="182" t="inlineStr">
        <is>
          <t>EL-008</t>
        </is>
      </c>
      <c r="D385" s="59">
        <f>IFERROR(INDEX(Productos!$B$5:$B$124,MATCH($C385,Productos!$A$5:$A$124,0)),"")</f>
        <v/>
      </c>
      <c r="E385" s="59">
        <f>IFERROR(INDEX(Productos!$D$5:$D$124,MATCH($C385,Productos!$A$5:$A$124,0)),"")</f>
        <v/>
      </c>
      <c r="F385" s="186" t="n">
        <v>2</v>
      </c>
      <c r="G385" s="68">
        <f>IFERROR(INDEX(Productos!$H$5:$H$124,MATCH($C385,Productos!$A$5:$A$124,0)),"")</f>
        <v/>
      </c>
      <c r="H385" s="185" t="n">
        <v>0</v>
      </c>
      <c r="I385" s="68">
        <f>IFERROR($G385*(1-$H385),"")</f>
        <v/>
      </c>
      <c r="J385" s="182" t="inlineStr">
        <is>
          <t>Tarjeta</t>
        </is>
      </c>
      <c r="K385" s="69">
        <f>IF($J385="",0,IF($J385="Contado",Inicio!$C$26,IF($J385="Tarjeta",Inicio!$C$27,IF($J385="Crédito propio",Inicio!$C$28,0))))</f>
        <v/>
      </c>
      <c r="L385" s="68">
        <f>IFERROR($F385*$I385,"")</f>
        <v/>
      </c>
      <c r="M385" s="68">
        <f>IFERROR($F385*INDEX(Productos!$G$5:$G$124,MATCH($C385,Productos!$A$5:$A$124,0)),"")</f>
        <v/>
      </c>
      <c r="N385" s="68">
        <f>IFERROR($L385*$K385,"")</f>
        <v/>
      </c>
      <c r="O385" s="68">
        <f>IFERROR($L385-$M385,"")</f>
        <v/>
      </c>
      <c r="P385" s="68">
        <f>IFERROR($O385-$N385,"")</f>
        <v/>
      </c>
      <c r="Q385" s="69">
        <f>IFERROR($P385/$L385,"")</f>
        <v/>
      </c>
    </row>
    <row r="386" ht="15" customHeight="1" s="47">
      <c r="A386" s="183" t="n">
        <v>46208</v>
      </c>
      <c r="B386" s="182" t="inlineStr">
        <is>
          <t>T06</t>
        </is>
      </c>
      <c r="C386" s="182" t="inlineStr">
        <is>
          <t>EL-013</t>
        </is>
      </c>
      <c r="D386" s="59">
        <f>IFERROR(INDEX(Productos!$B$5:$B$124,MATCH($C386,Productos!$A$5:$A$124,0)),"")</f>
        <v/>
      </c>
      <c r="E386" s="59">
        <f>IFERROR(INDEX(Productos!$D$5:$D$124,MATCH($C386,Productos!$A$5:$A$124,0)),"")</f>
        <v/>
      </c>
      <c r="F386" s="186" t="n">
        <v>2</v>
      </c>
      <c r="G386" s="68">
        <f>IFERROR(INDEX(Productos!$H$5:$H$124,MATCH($C386,Productos!$A$5:$A$124,0)),"")</f>
        <v/>
      </c>
      <c r="H386" s="185" t="n">
        <v>0</v>
      </c>
      <c r="I386" s="68">
        <f>IFERROR($G386*(1-$H386),"")</f>
        <v/>
      </c>
      <c r="J386" s="182" t="inlineStr">
        <is>
          <t>Tarjeta</t>
        </is>
      </c>
      <c r="K386" s="69">
        <f>IF($J386="",0,IF($J386="Contado",Inicio!$C$26,IF($J386="Tarjeta",Inicio!$C$27,IF($J386="Crédito propio",Inicio!$C$28,0))))</f>
        <v/>
      </c>
      <c r="L386" s="68">
        <f>IFERROR($F386*$I386,"")</f>
        <v/>
      </c>
      <c r="M386" s="68">
        <f>IFERROR($F386*INDEX(Productos!$G$5:$G$124,MATCH($C386,Productos!$A$5:$A$124,0)),"")</f>
        <v/>
      </c>
      <c r="N386" s="68">
        <f>IFERROR($L386*$K386,"")</f>
        <v/>
      </c>
      <c r="O386" s="68">
        <f>IFERROR($L386-$M386,"")</f>
        <v/>
      </c>
      <c r="P386" s="68">
        <f>IFERROR($O386-$N386,"")</f>
        <v/>
      </c>
      <c r="Q386" s="69">
        <f>IFERROR($P386/$L386,"")</f>
        <v/>
      </c>
    </row>
    <row r="387" ht="15" customHeight="1" s="47">
      <c r="A387" s="183" t="n">
        <v>46208</v>
      </c>
      <c r="B387" s="182" t="inlineStr">
        <is>
          <t>T06</t>
        </is>
      </c>
      <c r="C387" s="182" t="inlineStr">
        <is>
          <t>EL-020</t>
        </is>
      </c>
      <c r="D387" s="59">
        <f>IFERROR(INDEX(Productos!$B$5:$B$124,MATCH($C387,Productos!$A$5:$A$124,0)),"")</f>
        <v/>
      </c>
      <c r="E387" s="59">
        <f>IFERROR(INDEX(Productos!$D$5:$D$124,MATCH($C387,Productos!$A$5:$A$124,0)),"")</f>
        <v/>
      </c>
      <c r="F387" s="186" t="n">
        <v>2</v>
      </c>
      <c r="G387" s="68">
        <f>IFERROR(INDEX(Productos!$H$5:$H$124,MATCH($C387,Productos!$A$5:$A$124,0)),"")</f>
        <v/>
      </c>
      <c r="H387" s="185" t="n">
        <v>0.03</v>
      </c>
      <c r="I387" s="68">
        <f>IFERROR($G387*(1-$H387),"")</f>
        <v/>
      </c>
      <c r="J387" s="182" t="inlineStr">
        <is>
          <t>Tarjeta</t>
        </is>
      </c>
      <c r="K387" s="69">
        <f>IF($J387="",0,IF($J387="Contado",Inicio!$C$26,IF($J387="Tarjeta",Inicio!$C$27,IF($J387="Crédito propio",Inicio!$C$28,0))))</f>
        <v/>
      </c>
      <c r="L387" s="68">
        <f>IFERROR($F387*$I387,"")</f>
        <v/>
      </c>
      <c r="M387" s="68">
        <f>IFERROR($F387*INDEX(Productos!$G$5:$G$124,MATCH($C387,Productos!$A$5:$A$124,0)),"")</f>
        <v/>
      </c>
      <c r="N387" s="68">
        <f>IFERROR($L387*$K387,"")</f>
        <v/>
      </c>
      <c r="O387" s="68">
        <f>IFERROR($L387-$M387,"")</f>
        <v/>
      </c>
      <c r="P387" s="68">
        <f>IFERROR($O387-$N387,"")</f>
        <v/>
      </c>
      <c r="Q387" s="69">
        <f>IFERROR($P387/$L387,"")</f>
        <v/>
      </c>
    </row>
    <row r="388" ht="15" customHeight="1" s="47">
      <c r="A388" s="183" t="n">
        <v>46208</v>
      </c>
      <c r="B388" s="182" t="inlineStr">
        <is>
          <t>T06</t>
        </is>
      </c>
      <c r="C388" s="182" t="inlineStr">
        <is>
          <t>EL-025</t>
        </is>
      </c>
      <c r="D388" s="59">
        <f>IFERROR(INDEX(Productos!$B$5:$B$124,MATCH($C388,Productos!$A$5:$A$124,0)),"")</f>
        <v/>
      </c>
      <c r="E388" s="59">
        <f>IFERROR(INDEX(Productos!$D$5:$D$124,MATCH($C388,Productos!$A$5:$A$124,0)),"")</f>
        <v/>
      </c>
      <c r="F388" s="186" t="n">
        <v>1</v>
      </c>
      <c r="G388" s="68">
        <f>IFERROR(INDEX(Productos!$H$5:$H$124,MATCH($C388,Productos!$A$5:$A$124,0)),"")</f>
        <v/>
      </c>
      <c r="H388" s="185" t="n">
        <v>0.05</v>
      </c>
      <c r="I388" s="68">
        <f>IFERROR($G388*(1-$H388),"")</f>
        <v/>
      </c>
      <c r="J388" s="182" t="inlineStr">
        <is>
          <t>Tarjeta</t>
        </is>
      </c>
      <c r="K388" s="69">
        <f>IF($J388="",0,IF($J388="Contado",Inicio!$C$26,IF($J388="Tarjeta",Inicio!$C$27,IF($J388="Crédito propio",Inicio!$C$28,0))))</f>
        <v/>
      </c>
      <c r="L388" s="68">
        <f>IFERROR($F388*$I388,"")</f>
        <v/>
      </c>
      <c r="M388" s="68">
        <f>IFERROR($F388*INDEX(Productos!$G$5:$G$124,MATCH($C388,Productos!$A$5:$A$124,0)),"")</f>
        <v/>
      </c>
      <c r="N388" s="68">
        <f>IFERROR($L388*$K388,"")</f>
        <v/>
      </c>
      <c r="O388" s="68">
        <f>IFERROR($L388-$M388,"")</f>
        <v/>
      </c>
      <c r="P388" s="68">
        <f>IFERROR($O388-$N388,"")</f>
        <v/>
      </c>
      <c r="Q388" s="69">
        <f>IFERROR($P388/$L388,"")</f>
        <v/>
      </c>
    </row>
    <row r="389" ht="15" customHeight="1" s="47">
      <c r="A389" s="183" t="n">
        <v>46208</v>
      </c>
      <c r="B389" s="182" t="inlineStr">
        <is>
          <t>T06</t>
        </is>
      </c>
      <c r="C389" s="182" t="inlineStr">
        <is>
          <t>EL-026</t>
        </is>
      </c>
      <c r="D389" s="59">
        <f>IFERROR(INDEX(Productos!$B$5:$B$124,MATCH($C389,Productos!$A$5:$A$124,0)),"")</f>
        <v/>
      </c>
      <c r="E389" s="59">
        <f>IFERROR(INDEX(Productos!$D$5:$D$124,MATCH($C389,Productos!$A$5:$A$124,0)),"")</f>
        <v/>
      </c>
      <c r="F389" s="186" t="n">
        <v>1</v>
      </c>
      <c r="G389" s="68">
        <f>IFERROR(INDEX(Productos!$H$5:$H$124,MATCH($C389,Productos!$A$5:$A$124,0)),"")</f>
        <v/>
      </c>
      <c r="H389" s="185" t="n">
        <v>0.06837606837606836</v>
      </c>
      <c r="I389" s="68">
        <f>IFERROR($G389*(1-$H389),"")</f>
        <v/>
      </c>
      <c r="J389" s="182" t="inlineStr">
        <is>
          <t>Tarjeta</t>
        </is>
      </c>
      <c r="K389" s="69">
        <f>IF($J389="",0,IF($J389="Contado",Inicio!$C$26,IF($J389="Tarjeta",Inicio!$C$27,IF($J389="Crédito propio",Inicio!$C$28,0))))</f>
        <v/>
      </c>
      <c r="L389" s="68">
        <f>IFERROR($F389*$I389,"")</f>
        <v/>
      </c>
      <c r="M389" s="68">
        <f>IFERROR($F389*INDEX(Productos!$G$5:$G$124,MATCH($C389,Productos!$A$5:$A$124,0)),"")</f>
        <v/>
      </c>
      <c r="N389" s="68">
        <f>IFERROR($L389*$K389,"")</f>
        <v/>
      </c>
      <c r="O389" s="68">
        <f>IFERROR($L389-$M389,"")</f>
        <v/>
      </c>
      <c r="P389" s="68">
        <f>IFERROR($O389-$N389,"")</f>
        <v/>
      </c>
      <c r="Q389" s="69">
        <f>IFERROR($P389/$L389,"")</f>
        <v/>
      </c>
    </row>
    <row r="390" ht="15" customHeight="1" s="47">
      <c r="A390" s="183" t="n">
        <v>46208</v>
      </c>
      <c r="B390" s="182" t="inlineStr">
        <is>
          <t>T06</t>
        </is>
      </c>
      <c r="C390" s="182" t="inlineStr">
        <is>
          <t>EL-027</t>
        </is>
      </c>
      <c r="D390" s="59">
        <f>IFERROR(INDEX(Productos!$B$5:$B$124,MATCH($C390,Productos!$A$5:$A$124,0)),"")</f>
        <v/>
      </c>
      <c r="E390" s="59">
        <f>IFERROR(INDEX(Productos!$D$5:$D$124,MATCH($C390,Productos!$A$5:$A$124,0)),"")</f>
        <v/>
      </c>
      <c r="F390" s="186" t="n">
        <v>1</v>
      </c>
      <c r="G390" s="68">
        <f>IFERROR(INDEX(Productos!$H$5:$H$124,MATCH($C390,Productos!$A$5:$A$124,0)),"")</f>
        <v/>
      </c>
      <c r="H390" s="185" t="n">
        <v>0.06493506493506496</v>
      </c>
      <c r="I390" s="68">
        <f>IFERROR($G390*(1-$H390),"")</f>
        <v/>
      </c>
      <c r="J390" s="182" t="inlineStr">
        <is>
          <t>Contado</t>
        </is>
      </c>
      <c r="K390" s="69">
        <f>IF($J390="",0,IF($J390="Contado",Inicio!$C$26,IF($J390="Tarjeta",Inicio!$C$27,IF($J390="Crédito propio",Inicio!$C$28,0))))</f>
        <v/>
      </c>
      <c r="L390" s="68">
        <f>IFERROR($F390*$I390,"")</f>
        <v/>
      </c>
      <c r="M390" s="68">
        <f>IFERROR($F390*INDEX(Productos!$G$5:$G$124,MATCH($C390,Productos!$A$5:$A$124,0)),"")</f>
        <v/>
      </c>
      <c r="N390" s="68">
        <f>IFERROR($L390*$K390,"")</f>
        <v/>
      </c>
      <c r="O390" s="68">
        <f>IFERROR($L390-$M390,"")</f>
        <v/>
      </c>
      <c r="P390" s="68">
        <f>IFERROR($O390-$N390,"")</f>
        <v/>
      </c>
      <c r="Q390" s="69">
        <f>IFERROR($P390/$L390,"")</f>
        <v/>
      </c>
    </row>
    <row r="391" ht="15" customHeight="1" s="47">
      <c r="A391" s="183" t="n">
        <v>46208</v>
      </c>
      <c r="B391" s="182" t="inlineStr">
        <is>
          <t>T06</t>
        </is>
      </c>
      <c r="C391" s="182" t="inlineStr">
        <is>
          <t>EL-028</t>
        </is>
      </c>
      <c r="D391" s="59">
        <f>IFERROR(INDEX(Productos!$B$5:$B$124,MATCH($C391,Productos!$A$5:$A$124,0)),"")</f>
        <v/>
      </c>
      <c r="E391" s="59">
        <f>IFERROR(INDEX(Productos!$D$5:$D$124,MATCH($C391,Productos!$A$5:$A$124,0)),"")</f>
        <v/>
      </c>
      <c r="F391" s="186" t="n">
        <v>1</v>
      </c>
      <c r="G391" s="68">
        <f>IFERROR(INDEX(Productos!$H$5:$H$124,MATCH($C391,Productos!$A$5:$A$124,0)),"")</f>
        <v/>
      </c>
      <c r="H391" s="185" t="n">
        <v>0.05</v>
      </c>
      <c r="I391" s="68">
        <f>IFERROR($G391*(1-$H391),"")</f>
        <v/>
      </c>
      <c r="J391" s="182" t="inlineStr">
        <is>
          <t>Tarjeta</t>
        </is>
      </c>
      <c r="K391" s="69">
        <f>IF($J391="",0,IF($J391="Contado",Inicio!$C$26,IF($J391="Tarjeta",Inicio!$C$27,IF($J391="Crédito propio",Inicio!$C$28,0))))</f>
        <v/>
      </c>
      <c r="L391" s="68">
        <f>IFERROR($F391*$I391,"")</f>
        <v/>
      </c>
      <c r="M391" s="68">
        <f>IFERROR($F391*INDEX(Productos!$G$5:$G$124,MATCH($C391,Productos!$A$5:$A$124,0)),"")</f>
        <v/>
      </c>
      <c r="N391" s="68">
        <f>IFERROR($L391*$K391,"")</f>
        <v/>
      </c>
      <c r="O391" s="68">
        <f>IFERROR($L391-$M391,"")</f>
        <v/>
      </c>
      <c r="P391" s="68">
        <f>IFERROR($O391-$N391,"")</f>
        <v/>
      </c>
      <c r="Q391" s="69">
        <f>IFERROR($P391/$L391,"")</f>
        <v/>
      </c>
    </row>
    <row r="392" ht="15" customHeight="1" s="47">
      <c r="A392" s="183" t="n">
        <v>46208</v>
      </c>
      <c r="B392" s="182" t="inlineStr">
        <is>
          <t>T06</t>
        </is>
      </c>
      <c r="C392" s="182" t="inlineStr">
        <is>
          <t>EL-046</t>
        </is>
      </c>
      <c r="D392" s="59">
        <f>IFERROR(INDEX(Productos!$B$5:$B$124,MATCH($C392,Productos!$A$5:$A$124,0)),"")</f>
        <v/>
      </c>
      <c r="E392" s="59">
        <f>IFERROR(INDEX(Productos!$D$5:$D$124,MATCH($C392,Productos!$A$5:$A$124,0)),"")</f>
        <v/>
      </c>
      <c r="F392" s="186" t="n">
        <v>1</v>
      </c>
      <c r="G392" s="68">
        <f>IFERROR(INDEX(Productos!$H$5:$H$124,MATCH($C392,Productos!$A$5:$A$124,0)),"")</f>
        <v/>
      </c>
      <c r="H392" s="185" t="n">
        <v>0.03</v>
      </c>
      <c r="I392" s="68">
        <f>IFERROR($G392*(1-$H392),"")</f>
        <v/>
      </c>
      <c r="J392" s="182" t="inlineStr">
        <is>
          <t>Tarjeta</t>
        </is>
      </c>
      <c r="K392" s="69">
        <f>IF($J392="",0,IF($J392="Contado",Inicio!$C$26,IF($J392="Tarjeta",Inicio!$C$27,IF($J392="Crédito propio",Inicio!$C$28,0))))</f>
        <v/>
      </c>
      <c r="L392" s="68">
        <f>IFERROR($F392*$I392,"")</f>
        <v/>
      </c>
      <c r="M392" s="68">
        <f>IFERROR($F392*INDEX(Productos!$G$5:$G$124,MATCH($C392,Productos!$A$5:$A$124,0)),"")</f>
        <v/>
      </c>
      <c r="N392" s="68">
        <f>IFERROR($L392*$K392,"")</f>
        <v/>
      </c>
      <c r="O392" s="68">
        <f>IFERROR($L392-$M392,"")</f>
        <v/>
      </c>
      <c r="P392" s="68">
        <f>IFERROR($O392-$N392,"")</f>
        <v/>
      </c>
      <c r="Q392" s="69">
        <f>IFERROR($P392/$L392,"")</f>
        <v/>
      </c>
    </row>
    <row r="393" ht="15" customHeight="1" s="47">
      <c r="A393" s="183" t="n">
        <v>46209</v>
      </c>
      <c r="B393" s="182" t="inlineStr">
        <is>
          <t>T01</t>
        </is>
      </c>
      <c r="C393" s="182" t="inlineStr">
        <is>
          <t>EL-003</t>
        </is>
      </c>
      <c r="D393" s="59">
        <f>IFERROR(INDEX(Productos!$B$5:$B$124,MATCH($C393,Productos!$A$5:$A$124,0)),"")</f>
        <v/>
      </c>
      <c r="E393" s="59">
        <f>IFERROR(INDEX(Productos!$D$5:$D$124,MATCH($C393,Productos!$A$5:$A$124,0)),"")</f>
        <v/>
      </c>
      <c r="F393" s="186" t="n">
        <v>1</v>
      </c>
      <c r="G393" s="68">
        <f>IFERROR(INDEX(Productos!$H$5:$H$124,MATCH($C393,Productos!$A$5:$A$124,0)),"")</f>
        <v/>
      </c>
      <c r="H393" s="185" t="n">
        <v>0.03</v>
      </c>
      <c r="I393" s="68">
        <f>IFERROR($G393*(1-$H393),"")</f>
        <v/>
      </c>
      <c r="J393" s="182" t="inlineStr">
        <is>
          <t>Crédito propio</t>
        </is>
      </c>
      <c r="K393" s="69">
        <f>IF($J393="",0,IF($J393="Contado",Inicio!$C$26,IF($J393="Tarjeta",Inicio!$C$27,IF($J393="Crédito propio",Inicio!$C$28,0))))</f>
        <v/>
      </c>
      <c r="L393" s="68">
        <f>IFERROR($F393*$I393,"")</f>
        <v/>
      </c>
      <c r="M393" s="68">
        <f>IFERROR($F393*INDEX(Productos!$G$5:$G$124,MATCH($C393,Productos!$A$5:$A$124,0)),"")</f>
        <v/>
      </c>
      <c r="N393" s="68">
        <f>IFERROR($L393*$K393,"")</f>
        <v/>
      </c>
      <c r="O393" s="68">
        <f>IFERROR($L393-$M393,"")</f>
        <v/>
      </c>
      <c r="P393" s="68">
        <f>IFERROR($O393-$N393,"")</f>
        <v/>
      </c>
      <c r="Q393" s="69">
        <f>IFERROR($P393/$L393,"")</f>
        <v/>
      </c>
    </row>
    <row r="394" ht="15" customHeight="1" s="47">
      <c r="A394" s="183" t="n">
        <v>46209</v>
      </c>
      <c r="B394" s="182" t="inlineStr">
        <is>
          <t>T01</t>
        </is>
      </c>
      <c r="C394" s="182" t="inlineStr">
        <is>
          <t>EL-013</t>
        </is>
      </c>
      <c r="D394" s="59">
        <f>IFERROR(INDEX(Productos!$B$5:$B$124,MATCH($C394,Productos!$A$5:$A$124,0)),"")</f>
        <v/>
      </c>
      <c r="E394" s="59">
        <f>IFERROR(INDEX(Productos!$D$5:$D$124,MATCH($C394,Productos!$A$5:$A$124,0)),"")</f>
        <v/>
      </c>
      <c r="F394" s="186" t="n">
        <v>1</v>
      </c>
      <c r="G394" s="68">
        <f>IFERROR(INDEX(Productos!$H$5:$H$124,MATCH($C394,Productos!$A$5:$A$124,0)),"")</f>
        <v/>
      </c>
      <c r="H394" s="185" t="n">
        <v>0.05</v>
      </c>
      <c r="I394" s="68">
        <f>IFERROR($G394*(1-$H394),"")</f>
        <v/>
      </c>
      <c r="J394" s="182" t="inlineStr">
        <is>
          <t>Tarjeta</t>
        </is>
      </c>
      <c r="K394" s="69">
        <f>IF($J394="",0,IF($J394="Contado",Inicio!$C$26,IF($J394="Tarjeta",Inicio!$C$27,IF($J394="Crédito propio",Inicio!$C$28,0))))</f>
        <v/>
      </c>
      <c r="L394" s="68">
        <f>IFERROR($F394*$I394,"")</f>
        <v/>
      </c>
      <c r="M394" s="68">
        <f>IFERROR($F394*INDEX(Productos!$G$5:$G$124,MATCH($C394,Productos!$A$5:$A$124,0)),"")</f>
        <v/>
      </c>
      <c r="N394" s="68">
        <f>IFERROR($L394*$K394,"")</f>
        <v/>
      </c>
      <c r="O394" s="68">
        <f>IFERROR($L394-$M394,"")</f>
        <v/>
      </c>
      <c r="P394" s="68">
        <f>IFERROR($O394-$N394,"")</f>
        <v/>
      </c>
      <c r="Q394" s="69">
        <f>IFERROR($P394/$L394,"")</f>
        <v/>
      </c>
    </row>
    <row r="395" ht="15" customHeight="1" s="47">
      <c r="A395" s="183" t="n">
        <v>46209</v>
      </c>
      <c r="B395" s="182" t="inlineStr">
        <is>
          <t>T01</t>
        </is>
      </c>
      <c r="C395" s="182" t="inlineStr">
        <is>
          <t>EL-014</t>
        </is>
      </c>
      <c r="D395" s="59">
        <f>IFERROR(INDEX(Productos!$B$5:$B$124,MATCH($C395,Productos!$A$5:$A$124,0)),"")</f>
        <v/>
      </c>
      <c r="E395" s="59">
        <f>IFERROR(INDEX(Productos!$D$5:$D$124,MATCH($C395,Productos!$A$5:$A$124,0)),"")</f>
        <v/>
      </c>
      <c r="F395" s="186" t="n">
        <v>1</v>
      </c>
      <c r="G395" s="68">
        <f>IFERROR(INDEX(Productos!$H$5:$H$124,MATCH($C395,Productos!$A$5:$A$124,0)),"")</f>
        <v/>
      </c>
      <c r="H395" s="185" t="n">
        <v>0</v>
      </c>
      <c r="I395" s="68">
        <f>IFERROR($G395*(1-$H395),"")</f>
        <v/>
      </c>
      <c r="J395" s="182" t="inlineStr">
        <is>
          <t>Contado</t>
        </is>
      </c>
      <c r="K395" s="69">
        <f>IF($J395="",0,IF($J395="Contado",Inicio!$C$26,IF($J395="Tarjeta",Inicio!$C$27,IF($J395="Crédito propio",Inicio!$C$28,0))))</f>
        <v/>
      </c>
      <c r="L395" s="68">
        <f>IFERROR($F395*$I395,"")</f>
        <v/>
      </c>
      <c r="M395" s="68">
        <f>IFERROR($F395*INDEX(Productos!$G$5:$G$124,MATCH($C395,Productos!$A$5:$A$124,0)),"")</f>
        <v/>
      </c>
      <c r="N395" s="68">
        <f>IFERROR($L395*$K395,"")</f>
        <v/>
      </c>
      <c r="O395" s="68">
        <f>IFERROR($L395-$M395,"")</f>
        <v/>
      </c>
      <c r="P395" s="68">
        <f>IFERROR($O395-$N395,"")</f>
        <v/>
      </c>
      <c r="Q395" s="69">
        <f>IFERROR($P395/$L395,"")</f>
        <v/>
      </c>
    </row>
    <row r="396" ht="15" customHeight="1" s="47">
      <c r="A396" s="183" t="n">
        <v>46209</v>
      </c>
      <c r="B396" s="182" t="inlineStr">
        <is>
          <t>T01</t>
        </is>
      </c>
      <c r="C396" s="182" t="inlineStr">
        <is>
          <t>EL-021</t>
        </is>
      </c>
      <c r="D396" s="59">
        <f>IFERROR(INDEX(Productos!$B$5:$B$124,MATCH($C396,Productos!$A$5:$A$124,0)),"")</f>
        <v/>
      </c>
      <c r="E396" s="59">
        <f>IFERROR(INDEX(Productos!$D$5:$D$124,MATCH($C396,Productos!$A$5:$A$124,0)),"")</f>
        <v/>
      </c>
      <c r="F396" s="186" t="n">
        <v>1</v>
      </c>
      <c r="G396" s="68">
        <f>IFERROR(INDEX(Productos!$H$5:$H$124,MATCH($C396,Productos!$A$5:$A$124,0)),"")</f>
        <v/>
      </c>
      <c r="H396" s="185" t="n">
        <v>0.05</v>
      </c>
      <c r="I396" s="68">
        <f>IFERROR($G396*(1-$H396),"")</f>
        <v/>
      </c>
      <c r="J396" s="182" t="inlineStr">
        <is>
          <t>Contado</t>
        </is>
      </c>
      <c r="K396" s="69">
        <f>IF($J396="",0,IF($J396="Contado",Inicio!$C$26,IF($J396="Tarjeta",Inicio!$C$27,IF($J396="Crédito propio",Inicio!$C$28,0))))</f>
        <v/>
      </c>
      <c r="L396" s="68">
        <f>IFERROR($F396*$I396,"")</f>
        <v/>
      </c>
      <c r="M396" s="68">
        <f>IFERROR($F396*INDEX(Productos!$G$5:$G$124,MATCH($C396,Productos!$A$5:$A$124,0)),"")</f>
        <v/>
      </c>
      <c r="N396" s="68">
        <f>IFERROR($L396*$K396,"")</f>
        <v/>
      </c>
      <c r="O396" s="68">
        <f>IFERROR($L396-$M396,"")</f>
        <v/>
      </c>
      <c r="P396" s="68">
        <f>IFERROR($O396-$N396,"")</f>
        <v/>
      </c>
      <c r="Q396" s="69">
        <f>IFERROR($P396/$L396,"")</f>
        <v/>
      </c>
    </row>
    <row r="397" ht="15" customHeight="1" s="47">
      <c r="A397" s="183" t="n">
        <v>46209</v>
      </c>
      <c r="B397" s="182" t="inlineStr">
        <is>
          <t>T01</t>
        </is>
      </c>
      <c r="C397" s="182" t="inlineStr">
        <is>
          <t>EL-022</t>
        </is>
      </c>
      <c r="D397" s="59">
        <f>IFERROR(INDEX(Productos!$B$5:$B$124,MATCH($C397,Productos!$A$5:$A$124,0)),"")</f>
        <v/>
      </c>
      <c r="E397" s="59">
        <f>IFERROR(INDEX(Productos!$D$5:$D$124,MATCH($C397,Productos!$A$5:$A$124,0)),"")</f>
        <v/>
      </c>
      <c r="F397" s="186" t="n">
        <v>1</v>
      </c>
      <c r="G397" s="68">
        <f>IFERROR(INDEX(Productos!$H$5:$H$124,MATCH($C397,Productos!$A$5:$A$124,0)),"")</f>
        <v/>
      </c>
      <c r="H397" s="185" t="n">
        <v>0.06880733944954132</v>
      </c>
      <c r="I397" s="68">
        <f>IFERROR($G397*(1-$H397),"")</f>
        <v/>
      </c>
      <c r="J397" s="182" t="inlineStr">
        <is>
          <t>Tarjeta</t>
        </is>
      </c>
      <c r="K397" s="69">
        <f>IF($J397="",0,IF($J397="Contado",Inicio!$C$26,IF($J397="Tarjeta",Inicio!$C$27,IF($J397="Crédito propio",Inicio!$C$28,0))))</f>
        <v/>
      </c>
      <c r="L397" s="68">
        <f>IFERROR($F397*$I397,"")</f>
        <v/>
      </c>
      <c r="M397" s="68">
        <f>IFERROR($F397*INDEX(Productos!$G$5:$G$124,MATCH($C397,Productos!$A$5:$A$124,0)),"")</f>
        <v/>
      </c>
      <c r="N397" s="68">
        <f>IFERROR($L397*$K397,"")</f>
        <v/>
      </c>
      <c r="O397" s="68">
        <f>IFERROR($L397-$M397,"")</f>
        <v/>
      </c>
      <c r="P397" s="68">
        <f>IFERROR($O397-$N397,"")</f>
        <v/>
      </c>
      <c r="Q397" s="69">
        <f>IFERROR($P397/$L397,"")</f>
        <v/>
      </c>
    </row>
    <row r="398" ht="15" customHeight="1" s="47">
      <c r="A398" s="183" t="n">
        <v>46209</v>
      </c>
      <c r="B398" s="182" t="inlineStr">
        <is>
          <t>T01</t>
        </is>
      </c>
      <c r="C398" s="182" t="inlineStr">
        <is>
          <t>EL-024</t>
        </is>
      </c>
      <c r="D398" s="59">
        <f>IFERROR(INDEX(Productos!$B$5:$B$124,MATCH($C398,Productos!$A$5:$A$124,0)),"")</f>
        <v/>
      </c>
      <c r="E398" s="59">
        <f>IFERROR(INDEX(Productos!$D$5:$D$124,MATCH($C398,Productos!$A$5:$A$124,0)),"")</f>
        <v/>
      </c>
      <c r="F398" s="186" t="n">
        <v>1</v>
      </c>
      <c r="G398" s="68">
        <f>IFERROR(INDEX(Productos!$H$5:$H$124,MATCH($C398,Productos!$A$5:$A$124,0)),"")</f>
        <v/>
      </c>
      <c r="H398" s="185" t="n">
        <v>0</v>
      </c>
      <c r="I398" s="68">
        <f>IFERROR($G398*(1-$H398),"")</f>
        <v/>
      </c>
      <c r="J398" s="182" t="inlineStr">
        <is>
          <t>Crédito propio</t>
        </is>
      </c>
      <c r="K398" s="69">
        <f>IF($J398="",0,IF($J398="Contado",Inicio!$C$26,IF($J398="Tarjeta",Inicio!$C$27,IF($J398="Crédito propio",Inicio!$C$28,0))))</f>
        <v/>
      </c>
      <c r="L398" s="68">
        <f>IFERROR($F398*$I398,"")</f>
        <v/>
      </c>
      <c r="M398" s="68">
        <f>IFERROR($F398*INDEX(Productos!$G$5:$G$124,MATCH($C398,Productos!$A$5:$A$124,0)),"")</f>
        <v/>
      </c>
      <c r="N398" s="68">
        <f>IFERROR($L398*$K398,"")</f>
        <v/>
      </c>
      <c r="O398" s="68">
        <f>IFERROR($L398-$M398,"")</f>
        <v/>
      </c>
      <c r="P398" s="68">
        <f>IFERROR($O398-$N398,"")</f>
        <v/>
      </c>
      <c r="Q398" s="69">
        <f>IFERROR($P398/$L398,"")</f>
        <v/>
      </c>
    </row>
    <row r="399" ht="15" customHeight="1" s="47">
      <c r="A399" s="183" t="n">
        <v>46209</v>
      </c>
      <c r="B399" s="182" t="inlineStr">
        <is>
          <t>T01</t>
        </is>
      </c>
      <c r="C399" s="182" t="inlineStr">
        <is>
          <t>EL-025</t>
        </is>
      </c>
      <c r="D399" s="59">
        <f>IFERROR(INDEX(Productos!$B$5:$B$124,MATCH($C399,Productos!$A$5:$A$124,0)),"")</f>
        <v/>
      </c>
      <c r="E399" s="59">
        <f>IFERROR(INDEX(Productos!$D$5:$D$124,MATCH($C399,Productos!$A$5:$A$124,0)),"")</f>
        <v/>
      </c>
      <c r="F399" s="186" t="n">
        <v>1</v>
      </c>
      <c r="G399" s="68">
        <f>IFERROR(INDEX(Productos!$H$5:$H$124,MATCH($C399,Productos!$A$5:$A$124,0)),"")</f>
        <v/>
      </c>
      <c r="H399" s="185" t="n">
        <v>0.03</v>
      </c>
      <c r="I399" s="68">
        <f>IFERROR($G399*(1-$H399),"")</f>
        <v/>
      </c>
      <c r="J399" s="182" t="inlineStr">
        <is>
          <t>Tarjeta</t>
        </is>
      </c>
      <c r="K399" s="69">
        <f>IF($J399="",0,IF($J399="Contado",Inicio!$C$26,IF($J399="Tarjeta",Inicio!$C$27,IF($J399="Crédito propio",Inicio!$C$28,0))))</f>
        <v/>
      </c>
      <c r="L399" s="68">
        <f>IFERROR($F399*$I399,"")</f>
        <v/>
      </c>
      <c r="M399" s="68">
        <f>IFERROR($F399*INDEX(Productos!$G$5:$G$124,MATCH($C399,Productos!$A$5:$A$124,0)),"")</f>
        <v/>
      </c>
      <c r="N399" s="68">
        <f>IFERROR($L399*$K399,"")</f>
        <v/>
      </c>
      <c r="O399" s="68">
        <f>IFERROR($L399-$M399,"")</f>
        <v/>
      </c>
      <c r="P399" s="68">
        <f>IFERROR($O399-$N399,"")</f>
        <v/>
      </c>
      <c r="Q399" s="69">
        <f>IFERROR($P399/$L399,"")</f>
        <v/>
      </c>
    </row>
    <row r="400" ht="15" customHeight="1" s="47">
      <c r="A400" s="183" t="n">
        <v>46209</v>
      </c>
      <c r="B400" s="182" t="inlineStr">
        <is>
          <t>T01</t>
        </is>
      </c>
      <c r="C400" s="182" t="inlineStr">
        <is>
          <t>EL-026</t>
        </is>
      </c>
      <c r="D400" s="59">
        <f>IFERROR(INDEX(Productos!$B$5:$B$124,MATCH($C400,Productos!$A$5:$A$124,0)),"")</f>
        <v/>
      </c>
      <c r="E400" s="59">
        <f>IFERROR(INDEX(Productos!$D$5:$D$124,MATCH($C400,Productos!$A$5:$A$124,0)),"")</f>
        <v/>
      </c>
      <c r="F400" s="186" t="n">
        <v>1</v>
      </c>
      <c r="G400" s="68">
        <f>IFERROR(INDEX(Productos!$H$5:$H$124,MATCH($C400,Productos!$A$5:$A$124,0)),"")</f>
        <v/>
      </c>
      <c r="H400" s="185" t="n">
        <v>0.05</v>
      </c>
      <c r="I400" s="68">
        <f>IFERROR($G400*(1-$H400),"")</f>
        <v/>
      </c>
      <c r="J400" s="182" t="inlineStr">
        <is>
          <t>Tarjeta</t>
        </is>
      </c>
      <c r="K400" s="69">
        <f>IF($J400="",0,IF($J400="Contado",Inicio!$C$26,IF($J400="Tarjeta",Inicio!$C$27,IF($J400="Crédito propio",Inicio!$C$28,0))))</f>
        <v/>
      </c>
      <c r="L400" s="68">
        <f>IFERROR($F400*$I400,"")</f>
        <v/>
      </c>
      <c r="M400" s="68">
        <f>IFERROR($F400*INDEX(Productos!$G$5:$G$124,MATCH($C400,Productos!$A$5:$A$124,0)),"")</f>
        <v/>
      </c>
      <c r="N400" s="68">
        <f>IFERROR($L400*$K400,"")</f>
        <v/>
      </c>
      <c r="O400" s="68">
        <f>IFERROR($L400-$M400,"")</f>
        <v/>
      </c>
      <c r="P400" s="68">
        <f>IFERROR($O400-$N400,"")</f>
        <v/>
      </c>
      <c r="Q400" s="69">
        <f>IFERROR($P400/$L400,"")</f>
        <v/>
      </c>
    </row>
    <row r="401" ht="15" customHeight="1" s="47">
      <c r="A401" s="183" t="n">
        <v>46209</v>
      </c>
      <c r="B401" s="182" t="inlineStr">
        <is>
          <t>T01</t>
        </is>
      </c>
      <c r="C401" s="182" t="inlineStr">
        <is>
          <t>EL-027</t>
        </is>
      </c>
      <c r="D401" s="59">
        <f>IFERROR(INDEX(Productos!$B$5:$B$124,MATCH($C401,Productos!$A$5:$A$124,0)),"")</f>
        <v/>
      </c>
      <c r="E401" s="59">
        <f>IFERROR(INDEX(Productos!$D$5:$D$124,MATCH($C401,Productos!$A$5:$A$124,0)),"")</f>
        <v/>
      </c>
      <c r="F401" s="186" t="n">
        <v>2</v>
      </c>
      <c r="G401" s="68">
        <f>IFERROR(INDEX(Productos!$H$5:$H$124,MATCH($C401,Productos!$A$5:$A$124,0)),"")</f>
        <v/>
      </c>
      <c r="H401" s="185" t="n">
        <v>0.03</v>
      </c>
      <c r="I401" s="68">
        <f>IFERROR($G401*(1-$H401),"")</f>
        <v/>
      </c>
      <c r="J401" s="182" t="inlineStr">
        <is>
          <t>Tarjeta</t>
        </is>
      </c>
      <c r="K401" s="69">
        <f>IF($J401="",0,IF($J401="Contado",Inicio!$C$26,IF($J401="Tarjeta",Inicio!$C$27,IF($J401="Crédito propio",Inicio!$C$28,0))))</f>
        <v/>
      </c>
      <c r="L401" s="68">
        <f>IFERROR($F401*$I401,"")</f>
        <v/>
      </c>
      <c r="M401" s="68">
        <f>IFERROR($F401*INDEX(Productos!$G$5:$G$124,MATCH($C401,Productos!$A$5:$A$124,0)),"")</f>
        <v/>
      </c>
      <c r="N401" s="68">
        <f>IFERROR($L401*$K401,"")</f>
        <v/>
      </c>
      <c r="O401" s="68">
        <f>IFERROR($L401-$M401,"")</f>
        <v/>
      </c>
      <c r="P401" s="68">
        <f>IFERROR($O401-$N401,"")</f>
        <v/>
      </c>
      <c r="Q401" s="69">
        <f>IFERROR($P401/$L401,"")</f>
        <v/>
      </c>
    </row>
    <row r="402" ht="15" customHeight="1" s="47">
      <c r="A402" s="183" t="n">
        <v>46209</v>
      </c>
      <c r="B402" s="182" t="inlineStr">
        <is>
          <t>T01</t>
        </is>
      </c>
      <c r="C402" s="182" t="inlineStr">
        <is>
          <t>EL-028</t>
        </is>
      </c>
      <c r="D402" s="59">
        <f>IFERROR(INDEX(Productos!$B$5:$B$124,MATCH($C402,Productos!$A$5:$A$124,0)),"")</f>
        <v/>
      </c>
      <c r="E402" s="59">
        <f>IFERROR(INDEX(Productos!$D$5:$D$124,MATCH($C402,Productos!$A$5:$A$124,0)),"")</f>
        <v/>
      </c>
      <c r="F402" s="186" t="n">
        <v>1</v>
      </c>
      <c r="G402" s="68">
        <f>IFERROR(INDEX(Productos!$H$5:$H$124,MATCH($C402,Productos!$A$5:$A$124,0)),"")</f>
        <v/>
      </c>
      <c r="H402" s="185" t="n">
        <v>0</v>
      </c>
      <c r="I402" s="68">
        <f>IFERROR($G402*(1-$H402),"")</f>
        <v/>
      </c>
      <c r="J402" s="182" t="inlineStr">
        <is>
          <t>Contado</t>
        </is>
      </c>
      <c r="K402" s="69">
        <f>IF($J402="",0,IF($J402="Contado",Inicio!$C$26,IF($J402="Tarjeta",Inicio!$C$27,IF($J402="Crédito propio",Inicio!$C$28,0))))</f>
        <v/>
      </c>
      <c r="L402" s="68">
        <f>IFERROR($F402*$I402,"")</f>
        <v/>
      </c>
      <c r="M402" s="68">
        <f>IFERROR($F402*INDEX(Productos!$G$5:$G$124,MATCH($C402,Productos!$A$5:$A$124,0)),"")</f>
        <v/>
      </c>
      <c r="N402" s="68">
        <f>IFERROR($L402*$K402,"")</f>
        <v/>
      </c>
      <c r="O402" s="68">
        <f>IFERROR($L402-$M402,"")</f>
        <v/>
      </c>
      <c r="P402" s="68">
        <f>IFERROR($O402-$N402,"")</f>
        <v/>
      </c>
      <c r="Q402" s="69">
        <f>IFERROR($P402/$L402,"")</f>
        <v/>
      </c>
    </row>
    <row r="403" ht="15" customHeight="1" s="47">
      <c r="A403" s="183" t="n">
        <v>46209</v>
      </c>
      <c r="B403" s="182" t="inlineStr">
        <is>
          <t>T01</t>
        </is>
      </c>
      <c r="C403" s="182" t="inlineStr">
        <is>
          <t>EL-034</t>
        </is>
      </c>
      <c r="D403" s="59">
        <f>IFERROR(INDEX(Productos!$B$5:$B$124,MATCH($C403,Productos!$A$5:$A$124,0)),"")</f>
        <v/>
      </c>
      <c r="E403" s="59">
        <f>IFERROR(INDEX(Productos!$D$5:$D$124,MATCH($C403,Productos!$A$5:$A$124,0)),"")</f>
        <v/>
      </c>
      <c r="F403" s="186" t="n">
        <v>1</v>
      </c>
      <c r="G403" s="68">
        <f>IFERROR(INDEX(Productos!$H$5:$H$124,MATCH($C403,Productos!$A$5:$A$124,0)),"")</f>
        <v/>
      </c>
      <c r="H403" s="185" t="n">
        <v>0</v>
      </c>
      <c r="I403" s="68">
        <f>IFERROR($G403*(1-$H403),"")</f>
        <v/>
      </c>
      <c r="J403" s="182" t="inlineStr">
        <is>
          <t>Crédito propio</t>
        </is>
      </c>
      <c r="K403" s="69">
        <f>IF($J403="",0,IF($J403="Contado",Inicio!$C$26,IF($J403="Tarjeta",Inicio!$C$27,IF($J403="Crédito propio",Inicio!$C$28,0))))</f>
        <v/>
      </c>
      <c r="L403" s="68">
        <f>IFERROR($F403*$I403,"")</f>
        <v/>
      </c>
      <c r="M403" s="68">
        <f>IFERROR($F403*INDEX(Productos!$G$5:$G$124,MATCH($C403,Productos!$A$5:$A$124,0)),"")</f>
        <v/>
      </c>
      <c r="N403" s="68">
        <f>IFERROR($L403*$K403,"")</f>
        <v/>
      </c>
      <c r="O403" s="68">
        <f>IFERROR($L403-$M403,"")</f>
        <v/>
      </c>
      <c r="P403" s="68">
        <f>IFERROR($O403-$N403,"")</f>
        <v/>
      </c>
      <c r="Q403" s="69">
        <f>IFERROR($P403/$L403,"")</f>
        <v/>
      </c>
    </row>
    <row r="404" ht="15" customHeight="1" s="47">
      <c r="A404" s="183" t="n">
        <v>46209</v>
      </c>
      <c r="B404" s="182" t="inlineStr">
        <is>
          <t>T01</t>
        </is>
      </c>
      <c r="C404" s="182" t="inlineStr">
        <is>
          <t>EL-036</t>
        </is>
      </c>
      <c r="D404" s="59">
        <f>IFERROR(INDEX(Productos!$B$5:$B$124,MATCH($C404,Productos!$A$5:$A$124,0)),"")</f>
        <v/>
      </c>
      <c r="E404" s="59">
        <f>IFERROR(INDEX(Productos!$D$5:$D$124,MATCH($C404,Productos!$A$5:$A$124,0)),"")</f>
        <v/>
      </c>
      <c r="F404" s="186" t="n">
        <v>1</v>
      </c>
      <c r="G404" s="68">
        <f>IFERROR(INDEX(Productos!$H$5:$H$124,MATCH($C404,Productos!$A$5:$A$124,0)),"")</f>
        <v/>
      </c>
      <c r="H404" s="185" t="n">
        <v>0.03</v>
      </c>
      <c r="I404" s="68">
        <f>IFERROR($G404*(1-$H404),"")</f>
        <v/>
      </c>
      <c r="J404" s="182" t="inlineStr">
        <is>
          <t>Crédito propio</t>
        </is>
      </c>
      <c r="K404" s="69">
        <f>IF($J404="",0,IF($J404="Contado",Inicio!$C$26,IF($J404="Tarjeta",Inicio!$C$27,IF($J404="Crédito propio",Inicio!$C$28,0))))</f>
        <v/>
      </c>
      <c r="L404" s="68">
        <f>IFERROR($F404*$I404,"")</f>
        <v/>
      </c>
      <c r="M404" s="68">
        <f>IFERROR($F404*INDEX(Productos!$G$5:$G$124,MATCH($C404,Productos!$A$5:$A$124,0)),"")</f>
        <v/>
      </c>
      <c r="N404" s="68">
        <f>IFERROR($L404*$K404,"")</f>
        <v/>
      </c>
      <c r="O404" s="68">
        <f>IFERROR($L404-$M404,"")</f>
        <v/>
      </c>
      <c r="P404" s="68">
        <f>IFERROR($O404-$N404,"")</f>
        <v/>
      </c>
      <c r="Q404" s="69">
        <f>IFERROR($P404/$L404,"")</f>
        <v/>
      </c>
    </row>
    <row r="405" ht="15" customHeight="1" s="47">
      <c r="A405" s="183" t="n">
        <v>46209</v>
      </c>
      <c r="B405" s="182" t="inlineStr">
        <is>
          <t>T01</t>
        </is>
      </c>
      <c r="C405" s="182" t="inlineStr">
        <is>
          <t>EL-038</t>
        </is>
      </c>
      <c r="D405" s="59">
        <f>IFERROR(INDEX(Productos!$B$5:$B$124,MATCH($C405,Productos!$A$5:$A$124,0)),"")</f>
        <v/>
      </c>
      <c r="E405" s="59">
        <f>IFERROR(INDEX(Productos!$D$5:$D$124,MATCH($C405,Productos!$A$5:$A$124,0)),"")</f>
        <v/>
      </c>
      <c r="F405" s="186" t="n">
        <v>1</v>
      </c>
      <c r="G405" s="68">
        <f>IFERROR(INDEX(Productos!$H$5:$H$124,MATCH($C405,Productos!$A$5:$A$124,0)),"")</f>
        <v/>
      </c>
      <c r="H405" s="185" t="n">
        <v>0.06837606837606836</v>
      </c>
      <c r="I405" s="68">
        <f>IFERROR($G405*(1-$H405),"")</f>
        <v/>
      </c>
      <c r="J405" s="182" t="inlineStr">
        <is>
          <t>Tarjeta</t>
        </is>
      </c>
      <c r="K405" s="69">
        <f>IF($J405="",0,IF($J405="Contado",Inicio!$C$26,IF($J405="Tarjeta",Inicio!$C$27,IF($J405="Crédito propio",Inicio!$C$28,0))))</f>
        <v/>
      </c>
      <c r="L405" s="68">
        <f>IFERROR($F405*$I405,"")</f>
        <v/>
      </c>
      <c r="M405" s="68">
        <f>IFERROR($F405*INDEX(Productos!$G$5:$G$124,MATCH($C405,Productos!$A$5:$A$124,0)),"")</f>
        <v/>
      </c>
      <c r="N405" s="68">
        <f>IFERROR($L405*$K405,"")</f>
        <v/>
      </c>
      <c r="O405" s="68">
        <f>IFERROR($L405-$M405,"")</f>
        <v/>
      </c>
      <c r="P405" s="68">
        <f>IFERROR($O405-$N405,"")</f>
        <v/>
      </c>
      <c r="Q405" s="69">
        <f>IFERROR($P405/$L405,"")</f>
        <v/>
      </c>
    </row>
    <row r="406" ht="15" customHeight="1" s="47">
      <c r="A406" s="183" t="n">
        <v>46209</v>
      </c>
      <c r="B406" s="182" t="inlineStr">
        <is>
          <t>T01</t>
        </is>
      </c>
      <c r="C406" s="182" t="inlineStr">
        <is>
          <t>EL-046</t>
        </is>
      </c>
      <c r="D406" s="59">
        <f>IFERROR(INDEX(Productos!$B$5:$B$124,MATCH($C406,Productos!$A$5:$A$124,0)),"")</f>
        <v/>
      </c>
      <c r="E406" s="59">
        <f>IFERROR(INDEX(Productos!$D$5:$D$124,MATCH($C406,Productos!$A$5:$A$124,0)),"")</f>
        <v/>
      </c>
      <c r="F406" s="186" t="n">
        <v>1</v>
      </c>
      <c r="G406" s="68">
        <f>IFERROR(INDEX(Productos!$H$5:$H$124,MATCH($C406,Productos!$A$5:$A$124,0)),"")</f>
        <v/>
      </c>
      <c r="H406" s="185" t="n">
        <v>0.06122448979591832</v>
      </c>
      <c r="I406" s="68">
        <f>IFERROR($G406*(1-$H406),"")</f>
        <v/>
      </c>
      <c r="J406" s="182" t="inlineStr">
        <is>
          <t>Tarjeta</t>
        </is>
      </c>
      <c r="K406" s="69">
        <f>IF($J406="",0,IF($J406="Contado",Inicio!$C$26,IF($J406="Tarjeta",Inicio!$C$27,IF($J406="Crédito propio",Inicio!$C$28,0))))</f>
        <v/>
      </c>
      <c r="L406" s="68">
        <f>IFERROR($F406*$I406,"")</f>
        <v/>
      </c>
      <c r="M406" s="68">
        <f>IFERROR($F406*INDEX(Productos!$G$5:$G$124,MATCH($C406,Productos!$A$5:$A$124,0)),"")</f>
        <v/>
      </c>
      <c r="N406" s="68">
        <f>IFERROR($L406*$K406,"")</f>
        <v/>
      </c>
      <c r="O406" s="68">
        <f>IFERROR($L406-$M406,"")</f>
        <v/>
      </c>
      <c r="P406" s="68">
        <f>IFERROR($O406-$N406,"")</f>
        <v/>
      </c>
      <c r="Q406" s="69">
        <f>IFERROR($P406/$L406,"")</f>
        <v/>
      </c>
    </row>
    <row r="407" ht="15" customHeight="1" s="47">
      <c r="A407" s="183" t="n">
        <v>46209</v>
      </c>
      <c r="B407" s="182" t="inlineStr">
        <is>
          <t>T01</t>
        </is>
      </c>
      <c r="C407" s="182" t="inlineStr">
        <is>
          <t>EL-049</t>
        </is>
      </c>
      <c r="D407" s="59">
        <f>IFERROR(INDEX(Productos!$B$5:$B$124,MATCH($C407,Productos!$A$5:$A$124,0)),"")</f>
        <v/>
      </c>
      <c r="E407" s="59">
        <f>IFERROR(INDEX(Productos!$D$5:$D$124,MATCH($C407,Productos!$A$5:$A$124,0)),"")</f>
        <v/>
      </c>
      <c r="F407" s="186" t="n">
        <v>1</v>
      </c>
      <c r="G407" s="68">
        <f>IFERROR(INDEX(Productos!$H$5:$H$124,MATCH($C407,Productos!$A$5:$A$124,0)),"")</f>
        <v/>
      </c>
      <c r="H407" s="185" t="n">
        <v>0</v>
      </c>
      <c r="I407" s="68">
        <f>IFERROR($G407*(1-$H407),"")</f>
        <v/>
      </c>
      <c r="J407" s="182" t="inlineStr">
        <is>
          <t>Crédito propio</t>
        </is>
      </c>
      <c r="K407" s="69">
        <f>IF($J407="",0,IF($J407="Contado",Inicio!$C$26,IF($J407="Tarjeta",Inicio!$C$27,IF($J407="Crédito propio",Inicio!$C$28,0))))</f>
        <v/>
      </c>
      <c r="L407" s="68">
        <f>IFERROR($F407*$I407,"")</f>
        <v/>
      </c>
      <c r="M407" s="68">
        <f>IFERROR($F407*INDEX(Productos!$G$5:$G$124,MATCH($C407,Productos!$A$5:$A$124,0)),"")</f>
        <v/>
      </c>
      <c r="N407" s="68">
        <f>IFERROR($L407*$K407,"")</f>
        <v/>
      </c>
      <c r="O407" s="68">
        <f>IFERROR($L407-$M407,"")</f>
        <v/>
      </c>
      <c r="P407" s="68">
        <f>IFERROR($O407-$N407,"")</f>
        <v/>
      </c>
      <c r="Q407" s="69">
        <f>IFERROR($P407/$L407,"")</f>
        <v/>
      </c>
    </row>
    <row r="408" ht="15" customHeight="1" s="47">
      <c r="A408" s="183" t="n">
        <v>46209</v>
      </c>
      <c r="B408" s="182" t="inlineStr">
        <is>
          <t>T02</t>
        </is>
      </c>
      <c r="C408" s="182" t="inlineStr">
        <is>
          <t>EL-001</t>
        </is>
      </c>
      <c r="D408" s="59">
        <f>IFERROR(INDEX(Productos!$B$5:$B$124,MATCH($C408,Productos!$A$5:$A$124,0)),"")</f>
        <v/>
      </c>
      <c r="E408" s="59">
        <f>IFERROR(INDEX(Productos!$D$5:$D$124,MATCH($C408,Productos!$A$5:$A$124,0)),"")</f>
        <v/>
      </c>
      <c r="F408" s="186" t="n">
        <v>1</v>
      </c>
      <c r="G408" s="68">
        <f>IFERROR(INDEX(Productos!$H$5:$H$124,MATCH($C408,Productos!$A$5:$A$124,0)),"")</f>
        <v/>
      </c>
      <c r="H408" s="185" t="n">
        <v>0.03</v>
      </c>
      <c r="I408" s="68">
        <f>IFERROR($G408*(1-$H408),"")</f>
        <v/>
      </c>
      <c r="J408" s="182" t="inlineStr">
        <is>
          <t>Crédito propio</t>
        </is>
      </c>
      <c r="K408" s="69">
        <f>IF($J408="",0,IF($J408="Contado",Inicio!$C$26,IF($J408="Tarjeta",Inicio!$C$27,IF($J408="Crédito propio",Inicio!$C$28,0))))</f>
        <v/>
      </c>
      <c r="L408" s="68">
        <f>IFERROR($F408*$I408,"")</f>
        <v/>
      </c>
      <c r="M408" s="68">
        <f>IFERROR($F408*INDEX(Productos!$G$5:$G$124,MATCH($C408,Productos!$A$5:$A$124,0)),"")</f>
        <v/>
      </c>
      <c r="N408" s="68">
        <f>IFERROR($L408*$K408,"")</f>
        <v/>
      </c>
      <c r="O408" s="68">
        <f>IFERROR($L408-$M408,"")</f>
        <v/>
      </c>
      <c r="P408" s="68">
        <f>IFERROR($O408-$N408,"")</f>
        <v/>
      </c>
      <c r="Q408" s="69">
        <f>IFERROR($P408/$L408,"")</f>
        <v/>
      </c>
    </row>
    <row r="409" ht="15" customHeight="1" s="47">
      <c r="A409" s="183" t="n">
        <v>46209</v>
      </c>
      <c r="B409" s="182" t="inlineStr">
        <is>
          <t>T02</t>
        </is>
      </c>
      <c r="C409" s="182" t="inlineStr">
        <is>
          <t>EL-007</t>
        </is>
      </c>
      <c r="D409" s="59">
        <f>IFERROR(INDEX(Productos!$B$5:$B$124,MATCH($C409,Productos!$A$5:$A$124,0)),"")</f>
        <v/>
      </c>
      <c r="E409" s="59">
        <f>IFERROR(INDEX(Productos!$D$5:$D$124,MATCH($C409,Productos!$A$5:$A$124,0)),"")</f>
        <v/>
      </c>
      <c r="F409" s="186" t="n">
        <v>1</v>
      </c>
      <c r="G409" s="68">
        <f>IFERROR(INDEX(Productos!$H$5:$H$124,MATCH($C409,Productos!$A$5:$A$124,0)),"")</f>
        <v/>
      </c>
      <c r="H409" s="185" t="n">
        <v>0</v>
      </c>
      <c r="I409" s="68">
        <f>IFERROR($G409*(1-$H409),"")</f>
        <v/>
      </c>
      <c r="J409" s="182" t="inlineStr">
        <is>
          <t>Tarjeta</t>
        </is>
      </c>
      <c r="K409" s="69">
        <f>IF($J409="",0,IF($J409="Contado",Inicio!$C$26,IF($J409="Tarjeta",Inicio!$C$27,IF($J409="Crédito propio",Inicio!$C$28,0))))</f>
        <v/>
      </c>
      <c r="L409" s="68">
        <f>IFERROR($F409*$I409,"")</f>
        <v/>
      </c>
      <c r="M409" s="68">
        <f>IFERROR($F409*INDEX(Productos!$G$5:$G$124,MATCH($C409,Productos!$A$5:$A$124,0)),"")</f>
        <v/>
      </c>
      <c r="N409" s="68">
        <f>IFERROR($L409*$K409,"")</f>
        <v/>
      </c>
      <c r="O409" s="68">
        <f>IFERROR($L409-$M409,"")</f>
        <v/>
      </c>
      <c r="P409" s="68">
        <f>IFERROR($O409-$N409,"")</f>
        <v/>
      </c>
      <c r="Q409" s="69">
        <f>IFERROR($P409/$L409,"")</f>
        <v/>
      </c>
    </row>
    <row r="410" ht="15" customHeight="1" s="47">
      <c r="A410" s="183" t="n">
        <v>46209</v>
      </c>
      <c r="B410" s="182" t="inlineStr">
        <is>
          <t>T02</t>
        </is>
      </c>
      <c r="C410" s="182" t="inlineStr">
        <is>
          <t>EL-012</t>
        </is>
      </c>
      <c r="D410" s="59">
        <f>IFERROR(INDEX(Productos!$B$5:$B$124,MATCH($C410,Productos!$A$5:$A$124,0)),"")</f>
        <v/>
      </c>
      <c r="E410" s="59">
        <f>IFERROR(INDEX(Productos!$D$5:$D$124,MATCH($C410,Productos!$A$5:$A$124,0)),"")</f>
        <v/>
      </c>
      <c r="F410" s="186" t="n">
        <v>1</v>
      </c>
      <c r="G410" s="68">
        <f>IFERROR(INDEX(Productos!$H$5:$H$124,MATCH($C410,Productos!$A$5:$A$124,0)),"")</f>
        <v/>
      </c>
      <c r="H410" s="185" t="n">
        <v>0.05</v>
      </c>
      <c r="I410" s="68">
        <f>IFERROR($G410*(1-$H410),"")</f>
        <v/>
      </c>
      <c r="J410" s="182" t="inlineStr">
        <is>
          <t>Tarjeta</t>
        </is>
      </c>
      <c r="K410" s="69">
        <f>IF($J410="",0,IF($J410="Contado",Inicio!$C$26,IF($J410="Tarjeta",Inicio!$C$27,IF($J410="Crédito propio",Inicio!$C$28,0))))</f>
        <v/>
      </c>
      <c r="L410" s="68">
        <f>IFERROR($F410*$I410,"")</f>
        <v/>
      </c>
      <c r="M410" s="68">
        <f>IFERROR($F410*INDEX(Productos!$G$5:$G$124,MATCH($C410,Productos!$A$5:$A$124,0)),"")</f>
        <v/>
      </c>
      <c r="N410" s="68">
        <f>IFERROR($L410*$K410,"")</f>
        <v/>
      </c>
      <c r="O410" s="68">
        <f>IFERROR($L410-$M410,"")</f>
        <v/>
      </c>
      <c r="P410" s="68">
        <f>IFERROR($O410-$N410,"")</f>
        <v/>
      </c>
      <c r="Q410" s="69">
        <f>IFERROR($P410/$L410,"")</f>
        <v/>
      </c>
    </row>
    <row r="411" ht="15" customHeight="1" s="47">
      <c r="A411" s="183" t="n">
        <v>46209</v>
      </c>
      <c r="B411" s="182" t="inlineStr">
        <is>
          <t>T02</t>
        </is>
      </c>
      <c r="C411" s="182" t="inlineStr">
        <is>
          <t>EL-013</t>
        </is>
      </c>
      <c r="D411" s="59">
        <f>IFERROR(INDEX(Productos!$B$5:$B$124,MATCH($C411,Productos!$A$5:$A$124,0)),"")</f>
        <v/>
      </c>
      <c r="E411" s="59">
        <f>IFERROR(INDEX(Productos!$D$5:$D$124,MATCH($C411,Productos!$A$5:$A$124,0)),"")</f>
        <v/>
      </c>
      <c r="F411" s="186" t="n">
        <v>1</v>
      </c>
      <c r="G411" s="68">
        <f>IFERROR(INDEX(Productos!$H$5:$H$124,MATCH($C411,Productos!$A$5:$A$124,0)),"")</f>
        <v/>
      </c>
      <c r="H411" s="185" t="n">
        <v>0.07000000000000001</v>
      </c>
      <c r="I411" s="68">
        <f>IFERROR($G411*(1-$H411),"")</f>
        <v/>
      </c>
      <c r="J411" s="182" t="inlineStr">
        <is>
          <t>Crédito propio</t>
        </is>
      </c>
      <c r="K411" s="69">
        <f>IF($J411="",0,IF($J411="Contado",Inicio!$C$26,IF($J411="Tarjeta",Inicio!$C$27,IF($J411="Crédito propio",Inicio!$C$28,0))))</f>
        <v/>
      </c>
      <c r="L411" s="68">
        <f>IFERROR($F411*$I411,"")</f>
        <v/>
      </c>
      <c r="M411" s="68">
        <f>IFERROR($F411*INDEX(Productos!$G$5:$G$124,MATCH($C411,Productos!$A$5:$A$124,0)),"")</f>
        <v/>
      </c>
      <c r="N411" s="68">
        <f>IFERROR($L411*$K411,"")</f>
        <v/>
      </c>
      <c r="O411" s="68">
        <f>IFERROR($L411-$M411,"")</f>
        <v/>
      </c>
      <c r="P411" s="68">
        <f>IFERROR($O411-$N411,"")</f>
        <v/>
      </c>
      <c r="Q411" s="69">
        <f>IFERROR($P411/$L411,"")</f>
        <v/>
      </c>
    </row>
    <row r="412" ht="15" customHeight="1" s="47">
      <c r="A412" s="183" t="n">
        <v>46209</v>
      </c>
      <c r="B412" s="182" t="inlineStr">
        <is>
          <t>T02</t>
        </is>
      </c>
      <c r="C412" s="182" t="inlineStr">
        <is>
          <t>EL-016</t>
        </is>
      </c>
      <c r="D412" s="59">
        <f>IFERROR(INDEX(Productos!$B$5:$B$124,MATCH($C412,Productos!$A$5:$A$124,0)),"")</f>
        <v/>
      </c>
      <c r="E412" s="59">
        <f>IFERROR(INDEX(Productos!$D$5:$D$124,MATCH($C412,Productos!$A$5:$A$124,0)),"")</f>
        <v/>
      </c>
      <c r="F412" s="186" t="n">
        <v>1</v>
      </c>
      <c r="G412" s="68">
        <f>IFERROR(INDEX(Productos!$H$5:$H$124,MATCH($C412,Productos!$A$5:$A$124,0)),"")</f>
        <v/>
      </c>
      <c r="H412" s="185" t="n">
        <v>0.07199999999999995</v>
      </c>
      <c r="I412" s="68">
        <f>IFERROR($G412*(1-$H412),"")</f>
        <v/>
      </c>
      <c r="J412" s="182" t="inlineStr">
        <is>
          <t>Crédito propio</t>
        </is>
      </c>
      <c r="K412" s="69">
        <f>IF($J412="",0,IF($J412="Contado",Inicio!$C$26,IF($J412="Tarjeta",Inicio!$C$27,IF($J412="Crédito propio",Inicio!$C$28,0))))</f>
        <v/>
      </c>
      <c r="L412" s="68">
        <f>IFERROR($F412*$I412,"")</f>
        <v/>
      </c>
      <c r="M412" s="68">
        <f>IFERROR($F412*INDEX(Productos!$G$5:$G$124,MATCH($C412,Productos!$A$5:$A$124,0)),"")</f>
        <v/>
      </c>
      <c r="N412" s="68">
        <f>IFERROR($L412*$K412,"")</f>
        <v/>
      </c>
      <c r="O412" s="68">
        <f>IFERROR($L412-$M412,"")</f>
        <v/>
      </c>
      <c r="P412" s="68">
        <f>IFERROR($O412-$N412,"")</f>
        <v/>
      </c>
      <c r="Q412" s="69">
        <f>IFERROR($P412/$L412,"")</f>
        <v/>
      </c>
    </row>
    <row r="413" ht="15" customHeight="1" s="47">
      <c r="A413" s="183" t="n">
        <v>46209</v>
      </c>
      <c r="B413" s="182" t="inlineStr">
        <is>
          <t>T02</t>
        </is>
      </c>
      <c r="C413" s="182" t="inlineStr">
        <is>
          <t>EL-020</t>
        </is>
      </c>
      <c r="D413" s="59">
        <f>IFERROR(INDEX(Productos!$B$5:$B$124,MATCH($C413,Productos!$A$5:$A$124,0)),"")</f>
        <v/>
      </c>
      <c r="E413" s="59">
        <f>IFERROR(INDEX(Productos!$D$5:$D$124,MATCH($C413,Productos!$A$5:$A$124,0)),"")</f>
        <v/>
      </c>
      <c r="F413" s="186" t="n">
        <v>1</v>
      </c>
      <c r="G413" s="68">
        <f>IFERROR(INDEX(Productos!$H$5:$H$124,MATCH($C413,Productos!$A$5:$A$124,0)),"")</f>
        <v/>
      </c>
      <c r="H413" s="185" t="n">
        <v>0.03</v>
      </c>
      <c r="I413" s="68">
        <f>IFERROR($G413*(1-$H413),"")</f>
        <v/>
      </c>
      <c r="J413" s="182" t="inlineStr">
        <is>
          <t>Contado</t>
        </is>
      </c>
      <c r="K413" s="69">
        <f>IF($J413="",0,IF($J413="Contado",Inicio!$C$26,IF($J413="Tarjeta",Inicio!$C$27,IF($J413="Crédito propio",Inicio!$C$28,0))))</f>
        <v/>
      </c>
      <c r="L413" s="68">
        <f>IFERROR($F413*$I413,"")</f>
        <v/>
      </c>
      <c r="M413" s="68">
        <f>IFERROR($F413*INDEX(Productos!$G$5:$G$124,MATCH($C413,Productos!$A$5:$A$124,0)),"")</f>
        <v/>
      </c>
      <c r="N413" s="68">
        <f>IFERROR($L413*$K413,"")</f>
        <v/>
      </c>
      <c r="O413" s="68">
        <f>IFERROR($L413-$M413,"")</f>
        <v/>
      </c>
      <c r="P413" s="68">
        <f>IFERROR($O413-$N413,"")</f>
        <v/>
      </c>
      <c r="Q413" s="69">
        <f>IFERROR($P413/$L413,"")</f>
        <v/>
      </c>
    </row>
    <row r="414" ht="15" customHeight="1" s="47">
      <c r="A414" s="183" t="n">
        <v>46209</v>
      </c>
      <c r="B414" s="182" t="inlineStr">
        <is>
          <t>T02</t>
        </is>
      </c>
      <c r="C414" s="182" t="inlineStr">
        <is>
          <t>EL-022</t>
        </is>
      </c>
      <c r="D414" s="59">
        <f>IFERROR(INDEX(Productos!$B$5:$B$124,MATCH($C414,Productos!$A$5:$A$124,0)),"")</f>
        <v/>
      </c>
      <c r="E414" s="59">
        <f>IFERROR(INDEX(Productos!$D$5:$D$124,MATCH($C414,Productos!$A$5:$A$124,0)),"")</f>
        <v/>
      </c>
      <c r="F414" s="186" t="n">
        <v>1</v>
      </c>
      <c r="G414" s="68">
        <f>IFERROR(INDEX(Productos!$H$5:$H$124,MATCH($C414,Productos!$A$5:$A$124,0)),"")</f>
        <v/>
      </c>
      <c r="H414" s="185" t="n">
        <v>0</v>
      </c>
      <c r="I414" s="68">
        <f>IFERROR($G414*(1-$H414),"")</f>
        <v/>
      </c>
      <c r="J414" s="182" t="inlineStr">
        <is>
          <t>Contado</t>
        </is>
      </c>
      <c r="K414" s="69">
        <f>IF($J414="",0,IF($J414="Contado",Inicio!$C$26,IF($J414="Tarjeta",Inicio!$C$27,IF($J414="Crédito propio",Inicio!$C$28,0))))</f>
        <v/>
      </c>
      <c r="L414" s="68">
        <f>IFERROR($F414*$I414,"")</f>
        <v/>
      </c>
      <c r="M414" s="68">
        <f>IFERROR($F414*INDEX(Productos!$G$5:$G$124,MATCH($C414,Productos!$A$5:$A$124,0)),"")</f>
        <v/>
      </c>
      <c r="N414" s="68">
        <f>IFERROR($L414*$K414,"")</f>
        <v/>
      </c>
      <c r="O414" s="68">
        <f>IFERROR($L414-$M414,"")</f>
        <v/>
      </c>
      <c r="P414" s="68">
        <f>IFERROR($O414-$N414,"")</f>
        <v/>
      </c>
      <c r="Q414" s="69">
        <f>IFERROR($P414/$L414,"")</f>
        <v/>
      </c>
    </row>
    <row r="415" ht="15" customHeight="1" s="47">
      <c r="A415" s="183" t="n">
        <v>46209</v>
      </c>
      <c r="B415" s="182" t="inlineStr">
        <is>
          <t>T02</t>
        </is>
      </c>
      <c r="C415" s="182" t="inlineStr">
        <is>
          <t>EL-024</t>
        </is>
      </c>
      <c r="D415" s="59">
        <f>IFERROR(INDEX(Productos!$B$5:$B$124,MATCH($C415,Productos!$A$5:$A$124,0)),"")</f>
        <v/>
      </c>
      <c r="E415" s="59">
        <f>IFERROR(INDEX(Productos!$D$5:$D$124,MATCH($C415,Productos!$A$5:$A$124,0)),"")</f>
        <v/>
      </c>
      <c r="F415" s="186" t="n">
        <v>1</v>
      </c>
      <c r="G415" s="68">
        <f>IFERROR(INDEX(Productos!$H$5:$H$124,MATCH($C415,Productos!$A$5:$A$124,0)),"")</f>
        <v/>
      </c>
      <c r="H415" s="185" t="n">
        <v>0.03</v>
      </c>
      <c r="I415" s="68">
        <f>IFERROR($G415*(1-$H415),"")</f>
        <v/>
      </c>
      <c r="J415" s="182" t="inlineStr">
        <is>
          <t>Crédito propio</t>
        </is>
      </c>
      <c r="K415" s="69">
        <f>IF($J415="",0,IF($J415="Contado",Inicio!$C$26,IF($J415="Tarjeta",Inicio!$C$27,IF($J415="Crédito propio",Inicio!$C$28,0))))</f>
        <v/>
      </c>
      <c r="L415" s="68">
        <f>IFERROR($F415*$I415,"")</f>
        <v/>
      </c>
      <c r="M415" s="68">
        <f>IFERROR($F415*INDEX(Productos!$G$5:$G$124,MATCH($C415,Productos!$A$5:$A$124,0)),"")</f>
        <v/>
      </c>
      <c r="N415" s="68">
        <f>IFERROR($L415*$K415,"")</f>
        <v/>
      </c>
      <c r="O415" s="68">
        <f>IFERROR($L415-$M415,"")</f>
        <v/>
      </c>
      <c r="P415" s="68">
        <f>IFERROR($O415-$N415,"")</f>
        <v/>
      </c>
      <c r="Q415" s="69">
        <f>IFERROR($P415/$L415,"")</f>
        <v/>
      </c>
    </row>
    <row r="416" ht="15" customHeight="1" s="47">
      <c r="A416" s="183" t="n">
        <v>46209</v>
      </c>
      <c r="B416" s="182" t="inlineStr">
        <is>
          <t>T02</t>
        </is>
      </c>
      <c r="C416" s="182" t="inlineStr">
        <is>
          <t>EL-025</t>
        </is>
      </c>
      <c r="D416" s="59">
        <f>IFERROR(INDEX(Productos!$B$5:$B$124,MATCH($C416,Productos!$A$5:$A$124,0)),"")</f>
        <v/>
      </c>
      <c r="E416" s="59">
        <f>IFERROR(INDEX(Productos!$D$5:$D$124,MATCH($C416,Productos!$A$5:$A$124,0)),"")</f>
        <v/>
      </c>
      <c r="F416" s="186" t="n">
        <v>1</v>
      </c>
      <c r="G416" s="68">
        <f>IFERROR(INDEX(Productos!$H$5:$H$124,MATCH($C416,Productos!$A$5:$A$124,0)),"")</f>
        <v/>
      </c>
      <c r="H416" s="185" t="n">
        <v>0.05</v>
      </c>
      <c r="I416" s="68">
        <f>IFERROR($G416*(1-$H416),"")</f>
        <v/>
      </c>
      <c r="J416" s="182" t="inlineStr">
        <is>
          <t>Crédito propio</t>
        </is>
      </c>
      <c r="K416" s="69">
        <f>IF($J416="",0,IF($J416="Contado",Inicio!$C$26,IF($J416="Tarjeta",Inicio!$C$27,IF($J416="Crédito propio",Inicio!$C$28,0))))</f>
        <v/>
      </c>
      <c r="L416" s="68">
        <f>IFERROR($F416*$I416,"")</f>
        <v/>
      </c>
      <c r="M416" s="68">
        <f>IFERROR($F416*INDEX(Productos!$G$5:$G$124,MATCH($C416,Productos!$A$5:$A$124,0)),"")</f>
        <v/>
      </c>
      <c r="N416" s="68">
        <f>IFERROR($L416*$K416,"")</f>
        <v/>
      </c>
      <c r="O416" s="68">
        <f>IFERROR($L416-$M416,"")</f>
        <v/>
      </c>
      <c r="P416" s="68">
        <f>IFERROR($O416-$N416,"")</f>
        <v/>
      </c>
      <c r="Q416" s="69">
        <f>IFERROR($P416/$L416,"")</f>
        <v/>
      </c>
    </row>
    <row r="417" ht="15" customHeight="1" s="47">
      <c r="A417" s="183" t="n">
        <v>46209</v>
      </c>
      <c r="B417" s="182" t="inlineStr">
        <is>
          <t>T02</t>
        </is>
      </c>
      <c r="C417" s="182" t="inlineStr">
        <is>
          <t>EL-027</t>
        </is>
      </c>
      <c r="D417" s="59">
        <f>IFERROR(INDEX(Productos!$B$5:$B$124,MATCH($C417,Productos!$A$5:$A$124,0)),"")</f>
        <v/>
      </c>
      <c r="E417" s="59">
        <f>IFERROR(INDEX(Productos!$D$5:$D$124,MATCH($C417,Productos!$A$5:$A$124,0)),"")</f>
        <v/>
      </c>
      <c r="F417" s="186" t="n">
        <v>1</v>
      </c>
      <c r="G417" s="68">
        <f>IFERROR(INDEX(Productos!$H$5:$H$124,MATCH($C417,Productos!$A$5:$A$124,0)),"")</f>
        <v/>
      </c>
      <c r="H417" s="185" t="n">
        <v>0</v>
      </c>
      <c r="I417" s="68">
        <f>IFERROR($G417*(1-$H417),"")</f>
        <v/>
      </c>
      <c r="J417" s="182" t="inlineStr">
        <is>
          <t>Crédito propio</t>
        </is>
      </c>
      <c r="K417" s="69">
        <f>IF($J417="",0,IF($J417="Contado",Inicio!$C$26,IF($J417="Tarjeta",Inicio!$C$27,IF($J417="Crédito propio",Inicio!$C$28,0))))</f>
        <v/>
      </c>
      <c r="L417" s="68">
        <f>IFERROR($F417*$I417,"")</f>
        <v/>
      </c>
      <c r="M417" s="68">
        <f>IFERROR($F417*INDEX(Productos!$G$5:$G$124,MATCH($C417,Productos!$A$5:$A$124,0)),"")</f>
        <v/>
      </c>
      <c r="N417" s="68">
        <f>IFERROR($L417*$K417,"")</f>
        <v/>
      </c>
      <c r="O417" s="68">
        <f>IFERROR($L417-$M417,"")</f>
        <v/>
      </c>
      <c r="P417" s="68">
        <f>IFERROR($O417-$N417,"")</f>
        <v/>
      </c>
      <c r="Q417" s="69">
        <f>IFERROR($P417/$L417,"")</f>
        <v/>
      </c>
    </row>
    <row r="418" ht="15" customHeight="1" s="47">
      <c r="A418" s="183" t="n">
        <v>46209</v>
      </c>
      <c r="B418" s="182" t="inlineStr">
        <is>
          <t>T02</t>
        </is>
      </c>
      <c r="C418" s="182" t="inlineStr">
        <is>
          <t>EL-031</t>
        </is>
      </c>
      <c r="D418" s="59">
        <f>IFERROR(INDEX(Productos!$B$5:$B$124,MATCH($C418,Productos!$A$5:$A$124,0)),"")</f>
        <v/>
      </c>
      <c r="E418" s="59">
        <f>IFERROR(INDEX(Productos!$D$5:$D$124,MATCH($C418,Productos!$A$5:$A$124,0)),"")</f>
        <v/>
      </c>
      <c r="F418" s="186" t="n">
        <v>1</v>
      </c>
      <c r="G418" s="68">
        <f>IFERROR(INDEX(Productos!$H$5:$H$124,MATCH($C418,Productos!$A$5:$A$124,0)),"")</f>
        <v/>
      </c>
      <c r="H418" s="185" t="n">
        <v>0.06756756756756754</v>
      </c>
      <c r="I418" s="68">
        <f>IFERROR($G418*(1-$H418),"")</f>
        <v/>
      </c>
      <c r="J418" s="182" t="inlineStr">
        <is>
          <t>Tarjeta</t>
        </is>
      </c>
      <c r="K418" s="69">
        <f>IF($J418="",0,IF($J418="Contado",Inicio!$C$26,IF($J418="Tarjeta",Inicio!$C$27,IF($J418="Crédito propio",Inicio!$C$28,0))))</f>
        <v/>
      </c>
      <c r="L418" s="68">
        <f>IFERROR($F418*$I418,"")</f>
        <v/>
      </c>
      <c r="M418" s="68">
        <f>IFERROR($F418*INDEX(Productos!$G$5:$G$124,MATCH($C418,Productos!$A$5:$A$124,0)),"")</f>
        <v/>
      </c>
      <c r="N418" s="68">
        <f>IFERROR($L418*$K418,"")</f>
        <v/>
      </c>
      <c r="O418" s="68">
        <f>IFERROR($L418-$M418,"")</f>
        <v/>
      </c>
      <c r="P418" s="68">
        <f>IFERROR($O418-$N418,"")</f>
        <v/>
      </c>
      <c r="Q418" s="69">
        <f>IFERROR($P418/$L418,"")</f>
        <v/>
      </c>
    </row>
    <row r="419" ht="15" customHeight="1" s="47">
      <c r="A419" s="183" t="n">
        <v>46209</v>
      </c>
      <c r="B419" s="182" t="inlineStr">
        <is>
          <t>T02</t>
        </is>
      </c>
      <c r="C419" s="182" t="inlineStr">
        <is>
          <t>EL-044</t>
        </is>
      </c>
      <c r="D419" s="59">
        <f>IFERROR(INDEX(Productos!$B$5:$B$124,MATCH($C419,Productos!$A$5:$A$124,0)),"")</f>
        <v/>
      </c>
      <c r="E419" s="59">
        <f>IFERROR(INDEX(Productos!$D$5:$D$124,MATCH($C419,Productos!$A$5:$A$124,0)),"")</f>
        <v/>
      </c>
      <c r="F419" s="186" t="n">
        <v>1</v>
      </c>
      <c r="G419" s="68">
        <f>IFERROR(INDEX(Productos!$H$5:$H$124,MATCH($C419,Productos!$A$5:$A$124,0)),"")</f>
        <v/>
      </c>
      <c r="H419" s="185" t="n">
        <v>0.06870229007633588</v>
      </c>
      <c r="I419" s="68">
        <f>IFERROR($G419*(1-$H419),"")</f>
        <v/>
      </c>
      <c r="J419" s="182" t="inlineStr">
        <is>
          <t>Contado</t>
        </is>
      </c>
      <c r="K419" s="69">
        <f>IF($J419="",0,IF($J419="Contado",Inicio!$C$26,IF($J419="Tarjeta",Inicio!$C$27,IF($J419="Crédito propio",Inicio!$C$28,0))))</f>
        <v/>
      </c>
      <c r="L419" s="68">
        <f>IFERROR($F419*$I419,"")</f>
        <v/>
      </c>
      <c r="M419" s="68">
        <f>IFERROR($F419*INDEX(Productos!$G$5:$G$124,MATCH($C419,Productos!$A$5:$A$124,0)),"")</f>
        <v/>
      </c>
      <c r="N419" s="68">
        <f>IFERROR($L419*$K419,"")</f>
        <v/>
      </c>
      <c r="O419" s="68">
        <f>IFERROR($L419-$M419,"")</f>
        <v/>
      </c>
      <c r="P419" s="68">
        <f>IFERROR($O419-$N419,"")</f>
        <v/>
      </c>
      <c r="Q419" s="69">
        <f>IFERROR($P419/$L419,"")</f>
        <v/>
      </c>
    </row>
    <row r="420" ht="15" customHeight="1" s="47">
      <c r="A420" s="183" t="n">
        <v>46209</v>
      </c>
      <c r="B420" s="182" t="inlineStr">
        <is>
          <t>T02</t>
        </is>
      </c>
      <c r="C420" s="182" t="inlineStr">
        <is>
          <t>EL-046</t>
        </is>
      </c>
      <c r="D420" s="59">
        <f>IFERROR(INDEX(Productos!$B$5:$B$124,MATCH($C420,Productos!$A$5:$A$124,0)),"")</f>
        <v/>
      </c>
      <c r="E420" s="59">
        <f>IFERROR(INDEX(Productos!$D$5:$D$124,MATCH($C420,Productos!$A$5:$A$124,0)),"")</f>
        <v/>
      </c>
      <c r="F420" s="186" t="n">
        <v>1</v>
      </c>
      <c r="G420" s="68">
        <f>IFERROR(INDEX(Productos!$H$5:$H$124,MATCH($C420,Productos!$A$5:$A$124,0)),"")</f>
        <v/>
      </c>
      <c r="H420" s="185" t="n">
        <v>0</v>
      </c>
      <c r="I420" s="68">
        <f>IFERROR($G420*(1-$H420),"")</f>
        <v/>
      </c>
      <c r="J420" s="182" t="inlineStr">
        <is>
          <t>Contado</t>
        </is>
      </c>
      <c r="K420" s="69">
        <f>IF($J420="",0,IF($J420="Contado",Inicio!$C$26,IF($J420="Tarjeta",Inicio!$C$27,IF($J420="Crédito propio",Inicio!$C$28,0))))</f>
        <v/>
      </c>
      <c r="L420" s="68">
        <f>IFERROR($F420*$I420,"")</f>
        <v/>
      </c>
      <c r="M420" s="68">
        <f>IFERROR($F420*INDEX(Productos!$G$5:$G$124,MATCH($C420,Productos!$A$5:$A$124,0)),"")</f>
        <v/>
      </c>
      <c r="N420" s="68">
        <f>IFERROR($L420*$K420,"")</f>
        <v/>
      </c>
      <c r="O420" s="68">
        <f>IFERROR($L420-$M420,"")</f>
        <v/>
      </c>
      <c r="P420" s="68">
        <f>IFERROR($O420-$N420,"")</f>
        <v/>
      </c>
      <c r="Q420" s="69">
        <f>IFERROR($P420/$L420,"")</f>
        <v/>
      </c>
    </row>
    <row r="421" ht="15" customHeight="1" s="47">
      <c r="A421" s="183" t="n">
        <v>46209</v>
      </c>
      <c r="B421" s="182" t="inlineStr">
        <is>
          <t>T03</t>
        </is>
      </c>
      <c r="C421" s="182" t="inlineStr">
        <is>
          <t>EL-001</t>
        </is>
      </c>
      <c r="D421" s="59">
        <f>IFERROR(INDEX(Productos!$B$5:$B$124,MATCH($C421,Productos!$A$5:$A$124,0)),"")</f>
        <v/>
      </c>
      <c r="E421" s="59">
        <f>IFERROR(INDEX(Productos!$D$5:$D$124,MATCH($C421,Productos!$A$5:$A$124,0)),"")</f>
        <v/>
      </c>
      <c r="F421" s="186" t="n">
        <v>1</v>
      </c>
      <c r="G421" s="68">
        <f>IFERROR(INDEX(Productos!$H$5:$H$124,MATCH($C421,Productos!$A$5:$A$124,0)),"")</f>
        <v/>
      </c>
      <c r="H421" s="185" t="n">
        <v>0.03</v>
      </c>
      <c r="I421" s="68">
        <f>IFERROR($G421*(1-$H421),"")</f>
        <v/>
      </c>
      <c r="J421" s="182" t="inlineStr">
        <is>
          <t>Crédito propio</t>
        </is>
      </c>
      <c r="K421" s="69">
        <f>IF($J421="",0,IF($J421="Contado",Inicio!$C$26,IF($J421="Tarjeta",Inicio!$C$27,IF($J421="Crédito propio",Inicio!$C$28,0))))</f>
        <v/>
      </c>
      <c r="L421" s="68">
        <f>IFERROR($F421*$I421,"")</f>
        <v/>
      </c>
      <c r="M421" s="68">
        <f>IFERROR($F421*INDEX(Productos!$G$5:$G$124,MATCH($C421,Productos!$A$5:$A$124,0)),"")</f>
        <v/>
      </c>
      <c r="N421" s="68">
        <f>IFERROR($L421*$K421,"")</f>
        <v/>
      </c>
      <c r="O421" s="68">
        <f>IFERROR($L421-$M421,"")</f>
        <v/>
      </c>
      <c r="P421" s="68">
        <f>IFERROR($O421-$N421,"")</f>
        <v/>
      </c>
      <c r="Q421" s="69">
        <f>IFERROR($P421/$L421,"")</f>
        <v/>
      </c>
    </row>
    <row r="422" ht="15" customHeight="1" s="47">
      <c r="A422" s="183" t="n">
        <v>46209</v>
      </c>
      <c r="B422" s="182" t="inlineStr">
        <is>
          <t>T03</t>
        </is>
      </c>
      <c r="C422" s="182" t="inlineStr">
        <is>
          <t>EL-006</t>
        </is>
      </c>
      <c r="D422" s="59">
        <f>IFERROR(INDEX(Productos!$B$5:$B$124,MATCH($C422,Productos!$A$5:$A$124,0)),"")</f>
        <v/>
      </c>
      <c r="E422" s="59">
        <f>IFERROR(INDEX(Productos!$D$5:$D$124,MATCH($C422,Productos!$A$5:$A$124,0)),"")</f>
        <v/>
      </c>
      <c r="F422" s="186" t="n">
        <v>1</v>
      </c>
      <c r="G422" s="68">
        <f>IFERROR(INDEX(Productos!$H$5:$H$124,MATCH($C422,Productos!$A$5:$A$124,0)),"")</f>
        <v/>
      </c>
      <c r="H422" s="185" t="n">
        <v>0.05</v>
      </c>
      <c r="I422" s="68">
        <f>IFERROR($G422*(1-$H422),"")</f>
        <v/>
      </c>
      <c r="J422" s="182" t="inlineStr">
        <is>
          <t>Tarjeta</t>
        </is>
      </c>
      <c r="K422" s="69">
        <f>IF($J422="",0,IF($J422="Contado",Inicio!$C$26,IF($J422="Tarjeta",Inicio!$C$27,IF($J422="Crédito propio",Inicio!$C$28,0))))</f>
        <v/>
      </c>
      <c r="L422" s="68">
        <f>IFERROR($F422*$I422,"")</f>
        <v/>
      </c>
      <c r="M422" s="68">
        <f>IFERROR($F422*INDEX(Productos!$G$5:$G$124,MATCH($C422,Productos!$A$5:$A$124,0)),"")</f>
        <v/>
      </c>
      <c r="N422" s="68">
        <f>IFERROR($L422*$K422,"")</f>
        <v/>
      </c>
      <c r="O422" s="68">
        <f>IFERROR($L422-$M422,"")</f>
        <v/>
      </c>
      <c r="P422" s="68">
        <f>IFERROR($O422-$N422,"")</f>
        <v/>
      </c>
      <c r="Q422" s="69">
        <f>IFERROR($P422/$L422,"")</f>
        <v/>
      </c>
    </row>
    <row r="423" ht="15" customHeight="1" s="47">
      <c r="A423" s="183" t="n">
        <v>46209</v>
      </c>
      <c r="B423" s="182" t="inlineStr">
        <is>
          <t>T03</t>
        </is>
      </c>
      <c r="C423" s="182" t="inlineStr">
        <is>
          <t>EL-013</t>
        </is>
      </c>
      <c r="D423" s="59">
        <f>IFERROR(INDEX(Productos!$B$5:$B$124,MATCH($C423,Productos!$A$5:$A$124,0)),"")</f>
        <v/>
      </c>
      <c r="E423" s="59">
        <f>IFERROR(INDEX(Productos!$D$5:$D$124,MATCH($C423,Productos!$A$5:$A$124,0)),"")</f>
        <v/>
      </c>
      <c r="F423" s="186" t="n">
        <v>1</v>
      </c>
      <c r="G423" s="68">
        <f>IFERROR(INDEX(Productos!$H$5:$H$124,MATCH($C423,Productos!$A$5:$A$124,0)),"")</f>
        <v/>
      </c>
      <c r="H423" s="185" t="n">
        <v>0</v>
      </c>
      <c r="I423" s="68">
        <f>IFERROR($G423*(1-$H423),"")</f>
        <v/>
      </c>
      <c r="J423" s="182" t="inlineStr">
        <is>
          <t>Contado</t>
        </is>
      </c>
      <c r="K423" s="69">
        <f>IF($J423="",0,IF($J423="Contado",Inicio!$C$26,IF($J423="Tarjeta",Inicio!$C$27,IF($J423="Crédito propio",Inicio!$C$28,0))))</f>
        <v/>
      </c>
      <c r="L423" s="68">
        <f>IFERROR($F423*$I423,"")</f>
        <v/>
      </c>
      <c r="M423" s="68">
        <f>IFERROR($F423*INDEX(Productos!$G$5:$G$124,MATCH($C423,Productos!$A$5:$A$124,0)),"")</f>
        <v/>
      </c>
      <c r="N423" s="68">
        <f>IFERROR($L423*$K423,"")</f>
        <v/>
      </c>
      <c r="O423" s="68">
        <f>IFERROR($L423-$M423,"")</f>
        <v/>
      </c>
      <c r="P423" s="68">
        <f>IFERROR($O423-$N423,"")</f>
        <v/>
      </c>
      <c r="Q423" s="69">
        <f>IFERROR($P423/$L423,"")</f>
        <v/>
      </c>
    </row>
    <row r="424" ht="15" customHeight="1" s="47">
      <c r="A424" s="183" t="n">
        <v>46209</v>
      </c>
      <c r="B424" s="182" t="inlineStr">
        <is>
          <t>T03</t>
        </is>
      </c>
      <c r="C424" s="182" t="inlineStr">
        <is>
          <t>EL-016</t>
        </is>
      </c>
      <c r="D424" s="59">
        <f>IFERROR(INDEX(Productos!$B$5:$B$124,MATCH($C424,Productos!$A$5:$A$124,0)),"")</f>
        <v/>
      </c>
      <c r="E424" s="59">
        <f>IFERROR(INDEX(Productos!$D$5:$D$124,MATCH($C424,Productos!$A$5:$A$124,0)),"")</f>
        <v/>
      </c>
      <c r="F424" s="186" t="n">
        <v>1</v>
      </c>
      <c r="G424" s="68">
        <f>IFERROR(INDEX(Productos!$H$5:$H$124,MATCH($C424,Productos!$A$5:$A$124,0)),"")</f>
        <v/>
      </c>
      <c r="H424" s="185" t="n">
        <v>0.03</v>
      </c>
      <c r="I424" s="68">
        <f>IFERROR($G424*(1-$H424),"")</f>
        <v/>
      </c>
      <c r="J424" s="182" t="inlineStr">
        <is>
          <t>Crédito propio</t>
        </is>
      </c>
      <c r="K424" s="69">
        <f>IF($J424="",0,IF($J424="Contado",Inicio!$C$26,IF($J424="Tarjeta",Inicio!$C$27,IF($J424="Crédito propio",Inicio!$C$28,0))))</f>
        <v/>
      </c>
      <c r="L424" s="68">
        <f>IFERROR($F424*$I424,"")</f>
        <v/>
      </c>
      <c r="M424" s="68">
        <f>IFERROR($F424*INDEX(Productos!$G$5:$G$124,MATCH($C424,Productos!$A$5:$A$124,0)),"")</f>
        <v/>
      </c>
      <c r="N424" s="68">
        <f>IFERROR($L424*$K424,"")</f>
        <v/>
      </c>
      <c r="O424" s="68">
        <f>IFERROR($L424-$M424,"")</f>
        <v/>
      </c>
      <c r="P424" s="68">
        <f>IFERROR($O424-$N424,"")</f>
        <v/>
      </c>
      <c r="Q424" s="69">
        <f>IFERROR($P424/$L424,"")</f>
        <v/>
      </c>
    </row>
    <row r="425" ht="15" customHeight="1" s="47">
      <c r="A425" s="183" t="n">
        <v>46209</v>
      </c>
      <c r="B425" s="182" t="inlineStr">
        <is>
          <t>T03</t>
        </is>
      </c>
      <c r="C425" s="182" t="inlineStr">
        <is>
          <t>EL-018</t>
        </is>
      </c>
      <c r="D425" s="59">
        <f>IFERROR(INDEX(Productos!$B$5:$B$124,MATCH($C425,Productos!$A$5:$A$124,0)),"")</f>
        <v/>
      </c>
      <c r="E425" s="59">
        <f>IFERROR(INDEX(Productos!$D$5:$D$124,MATCH($C425,Productos!$A$5:$A$124,0)),"")</f>
        <v/>
      </c>
      <c r="F425" s="186" t="n">
        <v>1</v>
      </c>
      <c r="G425" s="68">
        <f>IFERROR(INDEX(Productos!$H$5:$H$124,MATCH($C425,Productos!$A$5:$A$124,0)),"")</f>
        <v/>
      </c>
      <c r="H425" s="185" t="n">
        <v>0.07377049180327866</v>
      </c>
      <c r="I425" s="68">
        <f>IFERROR($G425*(1-$H425),"")</f>
        <v/>
      </c>
      <c r="J425" s="182" t="inlineStr">
        <is>
          <t>Tarjeta</t>
        </is>
      </c>
      <c r="K425" s="69">
        <f>IF($J425="",0,IF($J425="Contado",Inicio!$C$26,IF($J425="Tarjeta",Inicio!$C$27,IF($J425="Crédito propio",Inicio!$C$28,0))))</f>
        <v/>
      </c>
      <c r="L425" s="68">
        <f>IFERROR($F425*$I425,"")</f>
        <v/>
      </c>
      <c r="M425" s="68">
        <f>IFERROR($F425*INDEX(Productos!$G$5:$G$124,MATCH($C425,Productos!$A$5:$A$124,0)),"")</f>
        <v/>
      </c>
      <c r="N425" s="68">
        <f>IFERROR($L425*$K425,"")</f>
        <v/>
      </c>
      <c r="O425" s="68">
        <f>IFERROR($L425-$M425,"")</f>
        <v/>
      </c>
      <c r="P425" s="68">
        <f>IFERROR($O425-$N425,"")</f>
        <v/>
      </c>
      <c r="Q425" s="69">
        <f>IFERROR($P425/$L425,"")</f>
        <v/>
      </c>
    </row>
    <row r="426" ht="15" customHeight="1" s="47">
      <c r="A426" s="183" t="n">
        <v>46209</v>
      </c>
      <c r="B426" s="182" t="inlineStr">
        <is>
          <t>T03</t>
        </is>
      </c>
      <c r="C426" s="182" t="inlineStr">
        <is>
          <t>EL-019</t>
        </is>
      </c>
      <c r="D426" s="59">
        <f>IFERROR(INDEX(Productos!$B$5:$B$124,MATCH($C426,Productos!$A$5:$A$124,0)),"")</f>
        <v/>
      </c>
      <c r="E426" s="59">
        <f>IFERROR(INDEX(Productos!$D$5:$D$124,MATCH($C426,Productos!$A$5:$A$124,0)),"")</f>
        <v/>
      </c>
      <c r="F426" s="186" t="n">
        <v>1</v>
      </c>
      <c r="G426" s="68">
        <f>IFERROR(INDEX(Productos!$H$5:$H$124,MATCH($C426,Productos!$A$5:$A$124,0)),"")</f>
        <v/>
      </c>
      <c r="H426" s="185" t="n">
        <v>0</v>
      </c>
      <c r="I426" s="68">
        <f>IFERROR($G426*(1-$H426),"")</f>
        <v/>
      </c>
      <c r="J426" s="182" t="inlineStr">
        <is>
          <t>Tarjeta</t>
        </is>
      </c>
      <c r="K426" s="69">
        <f>IF($J426="",0,IF($J426="Contado",Inicio!$C$26,IF($J426="Tarjeta",Inicio!$C$27,IF($J426="Crédito propio",Inicio!$C$28,0))))</f>
        <v/>
      </c>
      <c r="L426" s="68">
        <f>IFERROR($F426*$I426,"")</f>
        <v/>
      </c>
      <c r="M426" s="68">
        <f>IFERROR($F426*INDEX(Productos!$G$5:$G$124,MATCH($C426,Productos!$A$5:$A$124,0)),"")</f>
        <v/>
      </c>
      <c r="N426" s="68">
        <f>IFERROR($L426*$K426,"")</f>
        <v/>
      </c>
      <c r="O426" s="68">
        <f>IFERROR($L426-$M426,"")</f>
        <v/>
      </c>
      <c r="P426" s="68">
        <f>IFERROR($O426-$N426,"")</f>
        <v/>
      </c>
      <c r="Q426" s="69">
        <f>IFERROR($P426/$L426,"")</f>
        <v/>
      </c>
    </row>
    <row r="427" ht="15" customHeight="1" s="47">
      <c r="A427" s="183" t="n">
        <v>46209</v>
      </c>
      <c r="B427" s="182" t="inlineStr">
        <is>
          <t>T03</t>
        </is>
      </c>
      <c r="C427" s="182" t="inlineStr">
        <is>
          <t>EL-023</t>
        </is>
      </c>
      <c r="D427" s="59">
        <f>IFERROR(INDEX(Productos!$B$5:$B$124,MATCH($C427,Productos!$A$5:$A$124,0)),"")</f>
        <v/>
      </c>
      <c r="E427" s="59">
        <f>IFERROR(INDEX(Productos!$D$5:$D$124,MATCH($C427,Productos!$A$5:$A$124,0)),"")</f>
        <v/>
      </c>
      <c r="F427" s="186" t="n">
        <v>1</v>
      </c>
      <c r="G427" s="68">
        <f>IFERROR(INDEX(Productos!$H$5:$H$124,MATCH($C427,Productos!$A$5:$A$124,0)),"")</f>
        <v/>
      </c>
      <c r="H427" s="185" t="n">
        <v>0.05</v>
      </c>
      <c r="I427" s="68">
        <f>IFERROR($G427*(1-$H427),"")</f>
        <v/>
      </c>
      <c r="J427" s="182" t="inlineStr">
        <is>
          <t>Crédito propio</t>
        </is>
      </c>
      <c r="K427" s="69">
        <f>IF($J427="",0,IF($J427="Contado",Inicio!$C$26,IF($J427="Tarjeta",Inicio!$C$27,IF($J427="Crédito propio",Inicio!$C$28,0))))</f>
        <v/>
      </c>
      <c r="L427" s="68">
        <f>IFERROR($F427*$I427,"")</f>
        <v/>
      </c>
      <c r="M427" s="68">
        <f>IFERROR($F427*INDEX(Productos!$G$5:$G$124,MATCH($C427,Productos!$A$5:$A$124,0)),"")</f>
        <v/>
      </c>
      <c r="N427" s="68">
        <f>IFERROR($L427*$K427,"")</f>
        <v/>
      </c>
      <c r="O427" s="68">
        <f>IFERROR($L427-$M427,"")</f>
        <v/>
      </c>
      <c r="P427" s="68">
        <f>IFERROR($O427-$N427,"")</f>
        <v/>
      </c>
      <c r="Q427" s="69">
        <f>IFERROR($P427/$L427,"")</f>
        <v/>
      </c>
    </row>
    <row r="428" ht="15" customHeight="1" s="47">
      <c r="A428" s="183" t="n">
        <v>46209</v>
      </c>
      <c r="B428" s="182" t="inlineStr">
        <is>
          <t>T03</t>
        </is>
      </c>
      <c r="C428" s="182" t="inlineStr">
        <is>
          <t>EL-029</t>
        </is>
      </c>
      <c r="D428" s="59">
        <f>IFERROR(INDEX(Productos!$B$5:$B$124,MATCH($C428,Productos!$A$5:$A$124,0)),"")</f>
        <v/>
      </c>
      <c r="E428" s="59">
        <f>IFERROR(INDEX(Productos!$D$5:$D$124,MATCH($C428,Productos!$A$5:$A$124,0)),"")</f>
        <v/>
      </c>
      <c r="F428" s="186" t="n">
        <v>1</v>
      </c>
      <c r="G428" s="68">
        <f>IFERROR(INDEX(Productos!$H$5:$H$124,MATCH($C428,Productos!$A$5:$A$124,0)),"")</f>
        <v/>
      </c>
      <c r="H428" s="185" t="n">
        <v>0</v>
      </c>
      <c r="I428" s="68">
        <f>IFERROR($G428*(1-$H428),"")</f>
        <v/>
      </c>
      <c r="J428" s="182" t="inlineStr">
        <is>
          <t>Crédito propio</t>
        </is>
      </c>
      <c r="K428" s="69">
        <f>IF($J428="",0,IF($J428="Contado",Inicio!$C$26,IF($J428="Tarjeta",Inicio!$C$27,IF($J428="Crédito propio",Inicio!$C$28,0))))</f>
        <v/>
      </c>
      <c r="L428" s="68">
        <f>IFERROR($F428*$I428,"")</f>
        <v/>
      </c>
      <c r="M428" s="68">
        <f>IFERROR($F428*INDEX(Productos!$G$5:$G$124,MATCH($C428,Productos!$A$5:$A$124,0)),"")</f>
        <v/>
      </c>
      <c r="N428" s="68">
        <f>IFERROR($L428*$K428,"")</f>
        <v/>
      </c>
      <c r="O428" s="68">
        <f>IFERROR($L428-$M428,"")</f>
        <v/>
      </c>
      <c r="P428" s="68">
        <f>IFERROR($O428-$N428,"")</f>
        <v/>
      </c>
      <c r="Q428" s="69">
        <f>IFERROR($P428/$L428,"")</f>
        <v/>
      </c>
    </row>
    <row r="429" ht="15" customHeight="1" s="47">
      <c r="A429" s="183" t="n">
        <v>46209</v>
      </c>
      <c r="B429" s="182" t="inlineStr">
        <is>
          <t>T03</t>
        </is>
      </c>
      <c r="C429" s="182" t="inlineStr">
        <is>
          <t>EL-038</t>
        </is>
      </c>
      <c r="D429" s="59">
        <f>IFERROR(INDEX(Productos!$B$5:$B$124,MATCH($C429,Productos!$A$5:$A$124,0)),"")</f>
        <v/>
      </c>
      <c r="E429" s="59">
        <f>IFERROR(INDEX(Productos!$D$5:$D$124,MATCH($C429,Productos!$A$5:$A$124,0)),"")</f>
        <v/>
      </c>
      <c r="F429" s="186" t="n">
        <v>1</v>
      </c>
      <c r="G429" s="68">
        <f>IFERROR(INDEX(Productos!$H$5:$H$124,MATCH($C429,Productos!$A$5:$A$124,0)),"")</f>
        <v/>
      </c>
      <c r="H429" s="185" t="n">
        <v>0.06837606837606836</v>
      </c>
      <c r="I429" s="68">
        <f>IFERROR($G429*(1-$H429),"")</f>
        <v/>
      </c>
      <c r="J429" s="182" t="inlineStr">
        <is>
          <t>Tarjeta</t>
        </is>
      </c>
      <c r="K429" s="69">
        <f>IF($J429="",0,IF($J429="Contado",Inicio!$C$26,IF($J429="Tarjeta",Inicio!$C$27,IF($J429="Crédito propio",Inicio!$C$28,0))))</f>
        <v/>
      </c>
      <c r="L429" s="68">
        <f>IFERROR($F429*$I429,"")</f>
        <v/>
      </c>
      <c r="M429" s="68">
        <f>IFERROR($F429*INDEX(Productos!$G$5:$G$124,MATCH($C429,Productos!$A$5:$A$124,0)),"")</f>
        <v/>
      </c>
      <c r="N429" s="68">
        <f>IFERROR($L429*$K429,"")</f>
        <v/>
      </c>
      <c r="O429" s="68">
        <f>IFERROR($L429-$M429,"")</f>
        <v/>
      </c>
      <c r="P429" s="68">
        <f>IFERROR($O429-$N429,"")</f>
        <v/>
      </c>
      <c r="Q429" s="69">
        <f>IFERROR($P429/$L429,"")</f>
        <v/>
      </c>
    </row>
    <row r="430" ht="15" customHeight="1" s="47">
      <c r="A430" s="183" t="n">
        <v>46209</v>
      </c>
      <c r="B430" s="182" t="inlineStr">
        <is>
          <t>T03</t>
        </is>
      </c>
      <c r="C430" s="182" t="inlineStr">
        <is>
          <t>EL-044</t>
        </is>
      </c>
      <c r="D430" s="59">
        <f>IFERROR(INDEX(Productos!$B$5:$B$124,MATCH($C430,Productos!$A$5:$A$124,0)),"")</f>
        <v/>
      </c>
      <c r="E430" s="59">
        <f>IFERROR(INDEX(Productos!$D$5:$D$124,MATCH($C430,Productos!$A$5:$A$124,0)),"")</f>
        <v/>
      </c>
      <c r="F430" s="186" t="n">
        <v>1</v>
      </c>
      <c r="G430" s="68">
        <f>IFERROR(INDEX(Productos!$H$5:$H$124,MATCH($C430,Productos!$A$5:$A$124,0)),"")</f>
        <v/>
      </c>
      <c r="H430" s="185" t="n">
        <v>0.03</v>
      </c>
      <c r="I430" s="68">
        <f>IFERROR($G430*(1-$H430),"")</f>
        <v/>
      </c>
      <c r="J430" s="182" t="inlineStr">
        <is>
          <t>Tarjeta</t>
        </is>
      </c>
      <c r="K430" s="69">
        <f>IF($J430="",0,IF($J430="Contado",Inicio!$C$26,IF($J430="Tarjeta",Inicio!$C$27,IF($J430="Crédito propio",Inicio!$C$28,0))))</f>
        <v/>
      </c>
      <c r="L430" s="68">
        <f>IFERROR($F430*$I430,"")</f>
        <v/>
      </c>
      <c r="M430" s="68">
        <f>IFERROR($F430*INDEX(Productos!$G$5:$G$124,MATCH($C430,Productos!$A$5:$A$124,0)),"")</f>
        <v/>
      </c>
      <c r="N430" s="68">
        <f>IFERROR($L430*$K430,"")</f>
        <v/>
      </c>
      <c r="O430" s="68">
        <f>IFERROR($L430-$M430,"")</f>
        <v/>
      </c>
      <c r="P430" s="68">
        <f>IFERROR($O430-$N430,"")</f>
        <v/>
      </c>
      <c r="Q430" s="69">
        <f>IFERROR($P430/$L430,"")</f>
        <v/>
      </c>
    </row>
    <row r="431" ht="15" customHeight="1" s="47">
      <c r="A431" s="183" t="n">
        <v>46209</v>
      </c>
      <c r="B431" s="182" t="inlineStr">
        <is>
          <t>T04</t>
        </is>
      </c>
      <c r="C431" s="182" t="inlineStr">
        <is>
          <t>EL-025</t>
        </is>
      </c>
      <c r="D431" s="59">
        <f>IFERROR(INDEX(Productos!$B$5:$B$124,MATCH($C431,Productos!$A$5:$A$124,0)),"")</f>
        <v/>
      </c>
      <c r="E431" s="59">
        <f>IFERROR(INDEX(Productos!$D$5:$D$124,MATCH($C431,Productos!$A$5:$A$124,0)),"")</f>
        <v/>
      </c>
      <c r="F431" s="186" t="n">
        <v>1</v>
      </c>
      <c r="G431" s="68">
        <f>IFERROR(INDEX(Productos!$H$5:$H$124,MATCH($C431,Productos!$A$5:$A$124,0)),"")</f>
        <v/>
      </c>
      <c r="H431" s="185" t="n">
        <v>0.07079646017699115</v>
      </c>
      <c r="I431" s="68">
        <f>IFERROR($G431*(1-$H431),"")</f>
        <v/>
      </c>
      <c r="J431" s="182" t="inlineStr">
        <is>
          <t>Tarjeta</t>
        </is>
      </c>
      <c r="K431" s="69">
        <f>IF($J431="",0,IF($J431="Contado",Inicio!$C$26,IF($J431="Tarjeta",Inicio!$C$27,IF($J431="Crédito propio",Inicio!$C$28,0))))</f>
        <v/>
      </c>
      <c r="L431" s="68">
        <f>IFERROR($F431*$I431,"")</f>
        <v/>
      </c>
      <c r="M431" s="68">
        <f>IFERROR($F431*INDEX(Productos!$G$5:$G$124,MATCH($C431,Productos!$A$5:$A$124,0)),"")</f>
        <v/>
      </c>
      <c r="N431" s="68">
        <f>IFERROR($L431*$K431,"")</f>
        <v/>
      </c>
      <c r="O431" s="68">
        <f>IFERROR($L431-$M431,"")</f>
        <v/>
      </c>
      <c r="P431" s="68">
        <f>IFERROR($O431-$N431,"")</f>
        <v/>
      </c>
      <c r="Q431" s="69">
        <f>IFERROR($P431/$L431,"")</f>
        <v/>
      </c>
    </row>
    <row r="432" ht="15" customHeight="1" s="47">
      <c r="A432" s="183" t="n">
        <v>46209</v>
      </c>
      <c r="B432" s="182" t="inlineStr">
        <is>
          <t>T04</t>
        </is>
      </c>
      <c r="C432" s="182" t="inlineStr">
        <is>
          <t>EL-026</t>
        </is>
      </c>
      <c r="D432" s="59">
        <f>IFERROR(INDEX(Productos!$B$5:$B$124,MATCH($C432,Productos!$A$5:$A$124,0)),"")</f>
        <v/>
      </c>
      <c r="E432" s="59">
        <f>IFERROR(INDEX(Productos!$D$5:$D$124,MATCH($C432,Productos!$A$5:$A$124,0)),"")</f>
        <v/>
      </c>
      <c r="F432" s="186" t="n">
        <v>1</v>
      </c>
      <c r="G432" s="68">
        <f>IFERROR(INDEX(Productos!$H$5:$H$124,MATCH($C432,Productos!$A$5:$A$124,0)),"")</f>
        <v/>
      </c>
      <c r="H432" s="185" t="n">
        <v>0</v>
      </c>
      <c r="I432" s="68">
        <f>IFERROR($G432*(1-$H432),"")</f>
        <v/>
      </c>
      <c r="J432" s="182" t="inlineStr">
        <is>
          <t>Tarjeta</t>
        </is>
      </c>
      <c r="K432" s="69">
        <f>IF($J432="",0,IF($J432="Contado",Inicio!$C$26,IF($J432="Tarjeta",Inicio!$C$27,IF($J432="Crédito propio",Inicio!$C$28,0))))</f>
        <v/>
      </c>
      <c r="L432" s="68">
        <f>IFERROR($F432*$I432,"")</f>
        <v/>
      </c>
      <c r="M432" s="68">
        <f>IFERROR($F432*INDEX(Productos!$G$5:$G$124,MATCH($C432,Productos!$A$5:$A$124,0)),"")</f>
        <v/>
      </c>
      <c r="N432" s="68">
        <f>IFERROR($L432*$K432,"")</f>
        <v/>
      </c>
      <c r="O432" s="68">
        <f>IFERROR($L432-$M432,"")</f>
        <v/>
      </c>
      <c r="P432" s="68">
        <f>IFERROR($O432-$N432,"")</f>
        <v/>
      </c>
      <c r="Q432" s="69">
        <f>IFERROR($P432/$L432,"")</f>
        <v/>
      </c>
    </row>
    <row r="433" ht="15" customHeight="1" s="47">
      <c r="A433" s="183" t="n">
        <v>46209</v>
      </c>
      <c r="B433" s="182" t="inlineStr">
        <is>
          <t>T05</t>
        </is>
      </c>
      <c r="C433" s="182" t="inlineStr">
        <is>
          <t>EL-008</t>
        </is>
      </c>
      <c r="D433" s="59">
        <f>IFERROR(INDEX(Productos!$B$5:$B$124,MATCH($C433,Productos!$A$5:$A$124,0)),"")</f>
        <v/>
      </c>
      <c r="E433" s="59">
        <f>IFERROR(INDEX(Productos!$D$5:$D$124,MATCH($C433,Productos!$A$5:$A$124,0)),"")</f>
        <v/>
      </c>
      <c r="F433" s="186" t="n">
        <v>1</v>
      </c>
      <c r="G433" s="68">
        <f>IFERROR(INDEX(Productos!$H$5:$H$124,MATCH($C433,Productos!$A$5:$A$124,0)),"")</f>
        <v/>
      </c>
      <c r="H433" s="185" t="n">
        <v>0</v>
      </c>
      <c r="I433" s="68">
        <f>IFERROR($G433*(1-$H433),"")</f>
        <v/>
      </c>
      <c r="J433" s="182" t="inlineStr">
        <is>
          <t>Tarjeta</t>
        </is>
      </c>
      <c r="K433" s="69">
        <f>IF($J433="",0,IF($J433="Contado",Inicio!$C$26,IF($J433="Tarjeta",Inicio!$C$27,IF($J433="Crédito propio",Inicio!$C$28,0))))</f>
        <v/>
      </c>
      <c r="L433" s="68">
        <f>IFERROR($F433*$I433,"")</f>
        <v/>
      </c>
      <c r="M433" s="68">
        <f>IFERROR($F433*INDEX(Productos!$G$5:$G$124,MATCH($C433,Productos!$A$5:$A$124,0)),"")</f>
        <v/>
      </c>
      <c r="N433" s="68">
        <f>IFERROR($L433*$K433,"")</f>
        <v/>
      </c>
      <c r="O433" s="68">
        <f>IFERROR($L433-$M433,"")</f>
        <v/>
      </c>
      <c r="P433" s="68">
        <f>IFERROR($O433-$N433,"")</f>
        <v/>
      </c>
      <c r="Q433" s="69">
        <f>IFERROR($P433/$L433,"")</f>
        <v/>
      </c>
    </row>
    <row r="434" ht="15" customHeight="1" s="47">
      <c r="A434" s="183" t="n">
        <v>46209</v>
      </c>
      <c r="B434" s="182" t="inlineStr">
        <is>
          <t>T05</t>
        </is>
      </c>
      <c r="C434" s="182" t="inlineStr">
        <is>
          <t>EL-017</t>
        </is>
      </c>
      <c r="D434" s="59">
        <f>IFERROR(INDEX(Productos!$B$5:$B$124,MATCH($C434,Productos!$A$5:$A$124,0)),"")</f>
        <v/>
      </c>
      <c r="E434" s="59">
        <f>IFERROR(INDEX(Productos!$D$5:$D$124,MATCH($C434,Productos!$A$5:$A$124,0)),"")</f>
        <v/>
      </c>
      <c r="F434" s="186" t="n">
        <v>1</v>
      </c>
      <c r="G434" s="68">
        <f>IFERROR(INDEX(Productos!$H$5:$H$124,MATCH($C434,Productos!$A$5:$A$124,0)),"")</f>
        <v/>
      </c>
      <c r="H434" s="185" t="n">
        <v>0.03</v>
      </c>
      <c r="I434" s="68">
        <f>IFERROR($G434*(1-$H434),"")</f>
        <v/>
      </c>
      <c r="J434" s="182" t="inlineStr">
        <is>
          <t>Tarjeta</t>
        </is>
      </c>
      <c r="K434" s="69">
        <f>IF($J434="",0,IF($J434="Contado",Inicio!$C$26,IF($J434="Tarjeta",Inicio!$C$27,IF($J434="Crédito propio",Inicio!$C$28,0))))</f>
        <v/>
      </c>
      <c r="L434" s="68">
        <f>IFERROR($F434*$I434,"")</f>
        <v/>
      </c>
      <c r="M434" s="68">
        <f>IFERROR($F434*INDEX(Productos!$G$5:$G$124,MATCH($C434,Productos!$A$5:$A$124,0)),"")</f>
        <v/>
      </c>
      <c r="N434" s="68">
        <f>IFERROR($L434*$K434,"")</f>
        <v/>
      </c>
      <c r="O434" s="68">
        <f>IFERROR($L434-$M434,"")</f>
        <v/>
      </c>
      <c r="P434" s="68">
        <f>IFERROR($O434-$N434,"")</f>
        <v/>
      </c>
      <c r="Q434" s="69">
        <f>IFERROR($P434/$L434,"")</f>
        <v/>
      </c>
    </row>
    <row r="435" ht="15" customHeight="1" s="47">
      <c r="A435" s="183" t="n">
        <v>46209</v>
      </c>
      <c r="B435" s="182" t="inlineStr">
        <is>
          <t>T05</t>
        </is>
      </c>
      <c r="C435" s="182" t="inlineStr">
        <is>
          <t>EL-018</t>
        </is>
      </c>
      <c r="D435" s="59">
        <f>IFERROR(INDEX(Productos!$B$5:$B$124,MATCH($C435,Productos!$A$5:$A$124,0)),"")</f>
        <v/>
      </c>
      <c r="E435" s="59">
        <f>IFERROR(INDEX(Productos!$D$5:$D$124,MATCH($C435,Productos!$A$5:$A$124,0)),"")</f>
        <v/>
      </c>
      <c r="F435" s="186" t="n">
        <v>1</v>
      </c>
      <c r="G435" s="68">
        <f>IFERROR(INDEX(Productos!$H$5:$H$124,MATCH($C435,Productos!$A$5:$A$124,0)),"")</f>
        <v/>
      </c>
      <c r="H435" s="185" t="n">
        <v>0</v>
      </c>
      <c r="I435" s="68">
        <f>IFERROR($G435*(1-$H435),"")</f>
        <v/>
      </c>
      <c r="J435" s="182" t="inlineStr">
        <is>
          <t>Tarjeta</t>
        </is>
      </c>
      <c r="K435" s="69">
        <f>IF($J435="",0,IF($J435="Contado",Inicio!$C$26,IF($J435="Tarjeta",Inicio!$C$27,IF($J435="Crédito propio",Inicio!$C$28,0))))</f>
        <v/>
      </c>
      <c r="L435" s="68">
        <f>IFERROR($F435*$I435,"")</f>
        <v/>
      </c>
      <c r="M435" s="68">
        <f>IFERROR($F435*INDEX(Productos!$G$5:$G$124,MATCH($C435,Productos!$A$5:$A$124,0)),"")</f>
        <v/>
      </c>
      <c r="N435" s="68">
        <f>IFERROR($L435*$K435,"")</f>
        <v/>
      </c>
      <c r="O435" s="68">
        <f>IFERROR($L435-$M435,"")</f>
        <v/>
      </c>
      <c r="P435" s="68">
        <f>IFERROR($O435-$N435,"")</f>
        <v/>
      </c>
      <c r="Q435" s="69">
        <f>IFERROR($P435/$L435,"")</f>
        <v/>
      </c>
    </row>
    <row r="436" ht="15" customHeight="1" s="47">
      <c r="A436" s="183" t="n">
        <v>46209</v>
      </c>
      <c r="B436" s="182" t="inlineStr">
        <is>
          <t>T05</t>
        </is>
      </c>
      <c r="C436" s="182" t="inlineStr">
        <is>
          <t>EL-020</t>
        </is>
      </c>
      <c r="D436" s="59">
        <f>IFERROR(INDEX(Productos!$B$5:$B$124,MATCH($C436,Productos!$A$5:$A$124,0)),"")</f>
        <v/>
      </c>
      <c r="E436" s="59">
        <f>IFERROR(INDEX(Productos!$D$5:$D$124,MATCH($C436,Productos!$A$5:$A$124,0)),"")</f>
        <v/>
      </c>
      <c r="F436" s="186" t="n">
        <v>1</v>
      </c>
      <c r="G436" s="68">
        <f>IFERROR(INDEX(Productos!$H$5:$H$124,MATCH($C436,Productos!$A$5:$A$124,0)),"")</f>
        <v/>
      </c>
      <c r="H436" s="185" t="n">
        <v>0</v>
      </c>
      <c r="I436" s="68">
        <f>IFERROR($G436*(1-$H436),"")</f>
        <v/>
      </c>
      <c r="J436" s="182" t="inlineStr">
        <is>
          <t>Tarjeta</t>
        </is>
      </c>
      <c r="K436" s="69">
        <f>IF($J436="",0,IF($J436="Contado",Inicio!$C$26,IF($J436="Tarjeta",Inicio!$C$27,IF($J436="Crédito propio",Inicio!$C$28,0))))</f>
        <v/>
      </c>
      <c r="L436" s="68">
        <f>IFERROR($F436*$I436,"")</f>
        <v/>
      </c>
      <c r="M436" s="68">
        <f>IFERROR($F436*INDEX(Productos!$G$5:$G$124,MATCH($C436,Productos!$A$5:$A$124,0)),"")</f>
        <v/>
      </c>
      <c r="N436" s="68">
        <f>IFERROR($L436*$K436,"")</f>
        <v/>
      </c>
      <c r="O436" s="68">
        <f>IFERROR($L436-$M436,"")</f>
        <v/>
      </c>
      <c r="P436" s="68">
        <f>IFERROR($O436-$N436,"")</f>
        <v/>
      </c>
      <c r="Q436" s="69">
        <f>IFERROR($P436/$L436,"")</f>
        <v/>
      </c>
    </row>
    <row r="437" ht="15" customHeight="1" s="47">
      <c r="A437" s="183" t="n">
        <v>46209</v>
      </c>
      <c r="B437" s="182" t="inlineStr">
        <is>
          <t>T05</t>
        </is>
      </c>
      <c r="C437" s="182" t="inlineStr">
        <is>
          <t>EL-025</t>
        </is>
      </c>
      <c r="D437" s="59">
        <f>IFERROR(INDEX(Productos!$B$5:$B$124,MATCH($C437,Productos!$A$5:$A$124,0)),"")</f>
        <v/>
      </c>
      <c r="E437" s="59">
        <f>IFERROR(INDEX(Productos!$D$5:$D$124,MATCH($C437,Productos!$A$5:$A$124,0)),"")</f>
        <v/>
      </c>
      <c r="F437" s="186" t="n">
        <v>1</v>
      </c>
      <c r="G437" s="68">
        <f>IFERROR(INDEX(Productos!$H$5:$H$124,MATCH($C437,Productos!$A$5:$A$124,0)),"")</f>
        <v/>
      </c>
      <c r="H437" s="185" t="n">
        <v>0.07079646017699115</v>
      </c>
      <c r="I437" s="68">
        <f>IFERROR($G437*(1-$H437),"")</f>
        <v/>
      </c>
      <c r="J437" s="182" t="inlineStr">
        <is>
          <t>Crédito propio</t>
        </is>
      </c>
      <c r="K437" s="69">
        <f>IF($J437="",0,IF($J437="Contado",Inicio!$C$26,IF($J437="Tarjeta",Inicio!$C$27,IF($J437="Crédito propio",Inicio!$C$28,0))))</f>
        <v/>
      </c>
      <c r="L437" s="68">
        <f>IFERROR($F437*$I437,"")</f>
        <v/>
      </c>
      <c r="M437" s="68">
        <f>IFERROR($F437*INDEX(Productos!$G$5:$G$124,MATCH($C437,Productos!$A$5:$A$124,0)),"")</f>
        <v/>
      </c>
      <c r="N437" s="68">
        <f>IFERROR($L437*$K437,"")</f>
        <v/>
      </c>
      <c r="O437" s="68">
        <f>IFERROR($L437-$M437,"")</f>
        <v/>
      </c>
      <c r="P437" s="68">
        <f>IFERROR($O437-$N437,"")</f>
        <v/>
      </c>
      <c r="Q437" s="69">
        <f>IFERROR($P437/$L437,"")</f>
        <v/>
      </c>
    </row>
    <row r="438" ht="15" customHeight="1" s="47">
      <c r="A438" s="183" t="n">
        <v>46209</v>
      </c>
      <c r="B438" s="182" t="inlineStr">
        <is>
          <t>T05</t>
        </is>
      </c>
      <c r="C438" s="182" t="inlineStr">
        <is>
          <t>EL-026</t>
        </is>
      </c>
      <c r="D438" s="59">
        <f>IFERROR(INDEX(Productos!$B$5:$B$124,MATCH($C438,Productos!$A$5:$A$124,0)),"")</f>
        <v/>
      </c>
      <c r="E438" s="59">
        <f>IFERROR(INDEX(Productos!$D$5:$D$124,MATCH($C438,Productos!$A$5:$A$124,0)),"")</f>
        <v/>
      </c>
      <c r="F438" s="186" t="n">
        <v>2</v>
      </c>
      <c r="G438" s="68">
        <f>IFERROR(INDEX(Productos!$H$5:$H$124,MATCH($C438,Productos!$A$5:$A$124,0)),"")</f>
        <v/>
      </c>
      <c r="H438" s="185" t="n">
        <v>0</v>
      </c>
      <c r="I438" s="68">
        <f>IFERROR($G438*(1-$H438),"")</f>
        <v/>
      </c>
      <c r="J438" s="182" t="inlineStr">
        <is>
          <t>Contado</t>
        </is>
      </c>
      <c r="K438" s="69">
        <f>IF($J438="",0,IF($J438="Contado",Inicio!$C$26,IF($J438="Tarjeta",Inicio!$C$27,IF($J438="Crédito propio",Inicio!$C$28,0))))</f>
        <v/>
      </c>
      <c r="L438" s="68">
        <f>IFERROR($F438*$I438,"")</f>
        <v/>
      </c>
      <c r="M438" s="68">
        <f>IFERROR($F438*INDEX(Productos!$G$5:$G$124,MATCH($C438,Productos!$A$5:$A$124,0)),"")</f>
        <v/>
      </c>
      <c r="N438" s="68">
        <f>IFERROR($L438*$K438,"")</f>
        <v/>
      </c>
      <c r="O438" s="68">
        <f>IFERROR($L438-$M438,"")</f>
        <v/>
      </c>
      <c r="P438" s="68">
        <f>IFERROR($O438-$N438,"")</f>
        <v/>
      </c>
      <c r="Q438" s="69">
        <f>IFERROR($P438/$L438,"")</f>
        <v/>
      </c>
    </row>
    <row r="439" ht="15" customHeight="1" s="47">
      <c r="A439" s="183" t="n">
        <v>46209</v>
      </c>
      <c r="B439" s="182" t="inlineStr">
        <is>
          <t>T05</t>
        </is>
      </c>
      <c r="C439" s="182" t="inlineStr">
        <is>
          <t>EL-030</t>
        </is>
      </c>
      <c r="D439" s="59">
        <f>IFERROR(INDEX(Productos!$B$5:$B$124,MATCH($C439,Productos!$A$5:$A$124,0)),"")</f>
        <v/>
      </c>
      <c r="E439" s="59">
        <f>IFERROR(INDEX(Productos!$D$5:$D$124,MATCH($C439,Productos!$A$5:$A$124,0)),"")</f>
        <v/>
      </c>
      <c r="F439" s="186" t="n">
        <v>1</v>
      </c>
      <c r="G439" s="68">
        <f>IFERROR(INDEX(Productos!$H$5:$H$124,MATCH($C439,Productos!$A$5:$A$124,0)),"")</f>
        <v/>
      </c>
      <c r="H439" s="185" t="n">
        <v>0.05</v>
      </c>
      <c r="I439" s="68">
        <f>IFERROR($G439*(1-$H439),"")</f>
        <v/>
      </c>
      <c r="J439" s="182" t="inlineStr">
        <is>
          <t>Tarjeta</t>
        </is>
      </c>
      <c r="K439" s="69">
        <f>IF($J439="",0,IF($J439="Contado",Inicio!$C$26,IF($J439="Tarjeta",Inicio!$C$27,IF($J439="Crédito propio",Inicio!$C$28,0))))</f>
        <v/>
      </c>
      <c r="L439" s="68">
        <f>IFERROR($F439*$I439,"")</f>
        <v/>
      </c>
      <c r="M439" s="68">
        <f>IFERROR($F439*INDEX(Productos!$G$5:$G$124,MATCH($C439,Productos!$A$5:$A$124,0)),"")</f>
        <v/>
      </c>
      <c r="N439" s="68">
        <f>IFERROR($L439*$K439,"")</f>
        <v/>
      </c>
      <c r="O439" s="68">
        <f>IFERROR($L439-$M439,"")</f>
        <v/>
      </c>
      <c r="P439" s="68">
        <f>IFERROR($O439-$N439,"")</f>
        <v/>
      </c>
      <c r="Q439" s="69">
        <f>IFERROR($P439/$L439,"")</f>
        <v/>
      </c>
    </row>
    <row r="440" ht="15" customHeight="1" s="47">
      <c r="A440" s="183" t="n">
        <v>46209</v>
      </c>
      <c r="B440" s="182" t="inlineStr">
        <is>
          <t>T05</t>
        </is>
      </c>
      <c r="C440" s="182" t="inlineStr">
        <is>
          <t>EL-039</t>
        </is>
      </c>
      <c r="D440" s="59">
        <f>IFERROR(INDEX(Productos!$B$5:$B$124,MATCH($C440,Productos!$A$5:$A$124,0)),"")</f>
        <v/>
      </c>
      <c r="E440" s="59">
        <f>IFERROR(INDEX(Productos!$D$5:$D$124,MATCH($C440,Productos!$A$5:$A$124,0)),"")</f>
        <v/>
      </c>
      <c r="F440" s="186" t="n">
        <v>1</v>
      </c>
      <c r="G440" s="68">
        <f>IFERROR(INDEX(Productos!$H$5:$H$124,MATCH($C440,Productos!$A$5:$A$124,0)),"")</f>
        <v/>
      </c>
      <c r="H440" s="185" t="n">
        <v>0.03</v>
      </c>
      <c r="I440" s="68">
        <f>IFERROR($G440*(1-$H440),"")</f>
        <v/>
      </c>
      <c r="J440" s="182" t="inlineStr">
        <is>
          <t>Contado</t>
        </is>
      </c>
      <c r="K440" s="69">
        <f>IF($J440="",0,IF($J440="Contado",Inicio!$C$26,IF($J440="Tarjeta",Inicio!$C$27,IF($J440="Crédito propio",Inicio!$C$28,0))))</f>
        <v/>
      </c>
      <c r="L440" s="68">
        <f>IFERROR($F440*$I440,"")</f>
        <v/>
      </c>
      <c r="M440" s="68">
        <f>IFERROR($F440*INDEX(Productos!$G$5:$G$124,MATCH($C440,Productos!$A$5:$A$124,0)),"")</f>
        <v/>
      </c>
      <c r="N440" s="68">
        <f>IFERROR($L440*$K440,"")</f>
        <v/>
      </c>
      <c r="O440" s="68">
        <f>IFERROR($L440-$M440,"")</f>
        <v/>
      </c>
      <c r="P440" s="68">
        <f>IFERROR($O440-$N440,"")</f>
        <v/>
      </c>
      <c r="Q440" s="69">
        <f>IFERROR($P440/$L440,"")</f>
        <v/>
      </c>
    </row>
    <row r="441" ht="15" customHeight="1" s="47">
      <c r="A441" s="183" t="n">
        <v>46209</v>
      </c>
      <c r="B441" s="182" t="inlineStr">
        <is>
          <t>T05</t>
        </is>
      </c>
      <c r="C441" s="182" t="inlineStr">
        <is>
          <t>EL-046</t>
        </is>
      </c>
      <c r="D441" s="59">
        <f>IFERROR(INDEX(Productos!$B$5:$B$124,MATCH($C441,Productos!$A$5:$A$124,0)),"")</f>
        <v/>
      </c>
      <c r="E441" s="59">
        <f>IFERROR(INDEX(Productos!$D$5:$D$124,MATCH($C441,Productos!$A$5:$A$124,0)),"")</f>
        <v/>
      </c>
      <c r="F441" s="186" t="n">
        <v>1</v>
      </c>
      <c r="G441" s="68">
        <f>IFERROR(INDEX(Productos!$H$5:$H$124,MATCH($C441,Productos!$A$5:$A$124,0)),"")</f>
        <v/>
      </c>
      <c r="H441" s="185" t="n">
        <v>0.03</v>
      </c>
      <c r="I441" s="68">
        <f>IFERROR($G441*(1-$H441),"")</f>
        <v/>
      </c>
      <c r="J441" s="182" t="inlineStr">
        <is>
          <t>Crédito propio</t>
        </is>
      </c>
      <c r="K441" s="69">
        <f>IF($J441="",0,IF($J441="Contado",Inicio!$C$26,IF($J441="Tarjeta",Inicio!$C$27,IF($J441="Crédito propio",Inicio!$C$28,0))))</f>
        <v/>
      </c>
      <c r="L441" s="68">
        <f>IFERROR($F441*$I441,"")</f>
        <v/>
      </c>
      <c r="M441" s="68">
        <f>IFERROR($F441*INDEX(Productos!$G$5:$G$124,MATCH($C441,Productos!$A$5:$A$124,0)),"")</f>
        <v/>
      </c>
      <c r="N441" s="68">
        <f>IFERROR($L441*$K441,"")</f>
        <v/>
      </c>
      <c r="O441" s="68">
        <f>IFERROR($L441-$M441,"")</f>
        <v/>
      </c>
      <c r="P441" s="68">
        <f>IFERROR($O441-$N441,"")</f>
        <v/>
      </c>
      <c r="Q441" s="69">
        <f>IFERROR($P441/$L441,"")</f>
        <v/>
      </c>
    </row>
    <row r="442" ht="15" customHeight="1" s="47">
      <c r="A442" s="183" t="n">
        <v>46209</v>
      </c>
      <c r="B442" s="182" t="inlineStr">
        <is>
          <t>T05</t>
        </is>
      </c>
      <c r="C442" s="182" t="inlineStr">
        <is>
          <t>EL-048</t>
        </is>
      </c>
      <c r="D442" s="59">
        <f>IFERROR(INDEX(Productos!$B$5:$B$124,MATCH($C442,Productos!$A$5:$A$124,0)),"")</f>
        <v/>
      </c>
      <c r="E442" s="59">
        <f>IFERROR(INDEX(Productos!$D$5:$D$124,MATCH($C442,Productos!$A$5:$A$124,0)),"")</f>
        <v/>
      </c>
      <c r="F442" s="186" t="n">
        <v>1</v>
      </c>
      <c r="G442" s="68">
        <f>IFERROR(INDEX(Productos!$H$5:$H$124,MATCH($C442,Productos!$A$5:$A$124,0)),"")</f>
        <v/>
      </c>
      <c r="H442" s="185" t="n">
        <v>0</v>
      </c>
      <c r="I442" s="68">
        <f>IFERROR($G442*(1-$H442),"")</f>
        <v/>
      </c>
      <c r="J442" s="182" t="inlineStr">
        <is>
          <t>Tarjeta</t>
        </is>
      </c>
      <c r="K442" s="69">
        <f>IF($J442="",0,IF($J442="Contado",Inicio!$C$26,IF($J442="Tarjeta",Inicio!$C$27,IF($J442="Crédito propio",Inicio!$C$28,0))))</f>
        <v/>
      </c>
      <c r="L442" s="68">
        <f>IFERROR($F442*$I442,"")</f>
        <v/>
      </c>
      <c r="M442" s="68">
        <f>IFERROR($F442*INDEX(Productos!$G$5:$G$124,MATCH($C442,Productos!$A$5:$A$124,0)),"")</f>
        <v/>
      </c>
      <c r="N442" s="68">
        <f>IFERROR($L442*$K442,"")</f>
        <v/>
      </c>
      <c r="O442" s="68">
        <f>IFERROR($L442-$M442,"")</f>
        <v/>
      </c>
      <c r="P442" s="68">
        <f>IFERROR($O442-$N442,"")</f>
        <v/>
      </c>
      <c r="Q442" s="69">
        <f>IFERROR($P442/$L442,"")</f>
        <v/>
      </c>
    </row>
    <row r="443" ht="15" customHeight="1" s="47">
      <c r="A443" s="183" t="n">
        <v>46209</v>
      </c>
      <c r="B443" s="182" t="inlineStr">
        <is>
          <t>T05</t>
        </is>
      </c>
      <c r="C443" s="182" t="inlineStr">
        <is>
          <t>EL-049</t>
        </is>
      </c>
      <c r="D443" s="59">
        <f>IFERROR(INDEX(Productos!$B$5:$B$124,MATCH($C443,Productos!$A$5:$A$124,0)),"")</f>
        <v/>
      </c>
      <c r="E443" s="59">
        <f>IFERROR(INDEX(Productos!$D$5:$D$124,MATCH($C443,Productos!$A$5:$A$124,0)),"")</f>
        <v/>
      </c>
      <c r="F443" s="186" t="n">
        <v>2</v>
      </c>
      <c r="G443" s="68">
        <f>IFERROR(INDEX(Productos!$H$5:$H$124,MATCH($C443,Productos!$A$5:$A$124,0)),"")</f>
        <v/>
      </c>
      <c r="H443" s="185" t="n">
        <v>0</v>
      </c>
      <c r="I443" s="68">
        <f>IFERROR($G443*(1-$H443),"")</f>
        <v/>
      </c>
      <c r="J443" s="182" t="inlineStr">
        <is>
          <t>Contado</t>
        </is>
      </c>
      <c r="K443" s="69">
        <f>IF($J443="",0,IF($J443="Contado",Inicio!$C$26,IF($J443="Tarjeta",Inicio!$C$27,IF($J443="Crédito propio",Inicio!$C$28,0))))</f>
        <v/>
      </c>
      <c r="L443" s="68">
        <f>IFERROR($F443*$I443,"")</f>
        <v/>
      </c>
      <c r="M443" s="68">
        <f>IFERROR($F443*INDEX(Productos!$G$5:$G$124,MATCH($C443,Productos!$A$5:$A$124,0)),"")</f>
        <v/>
      </c>
      <c r="N443" s="68">
        <f>IFERROR($L443*$K443,"")</f>
        <v/>
      </c>
      <c r="O443" s="68">
        <f>IFERROR($L443-$M443,"")</f>
        <v/>
      </c>
      <c r="P443" s="68">
        <f>IFERROR($O443-$N443,"")</f>
        <v/>
      </c>
      <c r="Q443" s="69">
        <f>IFERROR($P443/$L443,"")</f>
        <v/>
      </c>
    </row>
    <row r="444" ht="15" customHeight="1" s="47">
      <c r="A444" s="183" t="n">
        <v>46209</v>
      </c>
      <c r="B444" s="182" t="inlineStr">
        <is>
          <t>T05</t>
        </is>
      </c>
      <c r="C444" s="182" t="inlineStr">
        <is>
          <t>EL-050</t>
        </is>
      </c>
      <c r="D444" s="59">
        <f>IFERROR(INDEX(Productos!$B$5:$B$124,MATCH($C444,Productos!$A$5:$A$124,0)),"")</f>
        <v/>
      </c>
      <c r="E444" s="59">
        <f>IFERROR(INDEX(Productos!$D$5:$D$124,MATCH($C444,Productos!$A$5:$A$124,0)),"")</f>
        <v/>
      </c>
      <c r="F444" s="186" t="n">
        <v>1</v>
      </c>
      <c r="G444" s="68">
        <f>IFERROR(INDEX(Productos!$H$5:$H$124,MATCH($C444,Productos!$A$5:$A$124,0)),"")</f>
        <v/>
      </c>
      <c r="H444" s="185" t="n">
        <v>0.06926406926406925</v>
      </c>
      <c r="I444" s="68">
        <f>IFERROR($G444*(1-$H444),"")</f>
        <v/>
      </c>
      <c r="J444" s="182" t="inlineStr">
        <is>
          <t>Crédito propio</t>
        </is>
      </c>
      <c r="K444" s="69">
        <f>IF($J444="",0,IF($J444="Contado",Inicio!$C$26,IF($J444="Tarjeta",Inicio!$C$27,IF($J444="Crédito propio",Inicio!$C$28,0))))</f>
        <v/>
      </c>
      <c r="L444" s="68">
        <f>IFERROR($F444*$I444,"")</f>
        <v/>
      </c>
      <c r="M444" s="68">
        <f>IFERROR($F444*INDEX(Productos!$G$5:$G$124,MATCH($C444,Productos!$A$5:$A$124,0)),"")</f>
        <v/>
      </c>
      <c r="N444" s="68">
        <f>IFERROR($L444*$K444,"")</f>
        <v/>
      </c>
      <c r="O444" s="68">
        <f>IFERROR($L444-$M444,"")</f>
        <v/>
      </c>
      <c r="P444" s="68">
        <f>IFERROR($O444-$N444,"")</f>
        <v/>
      </c>
      <c r="Q444" s="69">
        <f>IFERROR($P444/$L444,"")</f>
        <v/>
      </c>
    </row>
    <row r="445" ht="15" customHeight="1" s="47">
      <c r="A445" s="183" t="n">
        <v>46209</v>
      </c>
      <c r="B445" s="182" t="inlineStr">
        <is>
          <t>T06</t>
        </is>
      </c>
      <c r="C445" s="182" t="inlineStr">
        <is>
          <t>EL-008</t>
        </is>
      </c>
      <c r="D445" s="59">
        <f>IFERROR(INDEX(Productos!$B$5:$B$124,MATCH($C445,Productos!$A$5:$A$124,0)),"")</f>
        <v/>
      </c>
      <c r="E445" s="59">
        <f>IFERROR(INDEX(Productos!$D$5:$D$124,MATCH($C445,Productos!$A$5:$A$124,0)),"")</f>
        <v/>
      </c>
      <c r="F445" s="186" t="n">
        <v>1</v>
      </c>
      <c r="G445" s="68">
        <f>IFERROR(INDEX(Productos!$H$5:$H$124,MATCH($C445,Productos!$A$5:$A$124,0)),"")</f>
        <v/>
      </c>
      <c r="H445" s="185" t="n">
        <v>0</v>
      </c>
      <c r="I445" s="68">
        <f>IFERROR($G445*(1-$H445),"")</f>
        <v/>
      </c>
      <c r="J445" s="182" t="inlineStr">
        <is>
          <t>Crédito propio</t>
        </is>
      </c>
      <c r="K445" s="69">
        <f>IF($J445="",0,IF($J445="Contado",Inicio!$C$26,IF($J445="Tarjeta",Inicio!$C$27,IF($J445="Crédito propio",Inicio!$C$28,0))))</f>
        <v/>
      </c>
      <c r="L445" s="68">
        <f>IFERROR($F445*$I445,"")</f>
        <v/>
      </c>
      <c r="M445" s="68">
        <f>IFERROR($F445*INDEX(Productos!$G$5:$G$124,MATCH($C445,Productos!$A$5:$A$124,0)),"")</f>
        <v/>
      </c>
      <c r="N445" s="68">
        <f>IFERROR($L445*$K445,"")</f>
        <v/>
      </c>
      <c r="O445" s="68">
        <f>IFERROR($L445-$M445,"")</f>
        <v/>
      </c>
      <c r="P445" s="68">
        <f>IFERROR($O445-$N445,"")</f>
        <v/>
      </c>
      <c r="Q445" s="69">
        <f>IFERROR($P445/$L445,"")</f>
        <v/>
      </c>
    </row>
    <row r="446" ht="15" customHeight="1" s="47">
      <c r="A446" s="183" t="n">
        <v>46209</v>
      </c>
      <c r="B446" s="182" t="inlineStr">
        <is>
          <t>T06</t>
        </is>
      </c>
      <c r="C446" s="182" t="inlineStr">
        <is>
          <t>EL-018</t>
        </is>
      </c>
      <c r="D446" s="59">
        <f>IFERROR(INDEX(Productos!$B$5:$B$124,MATCH($C446,Productos!$A$5:$A$124,0)),"")</f>
        <v/>
      </c>
      <c r="E446" s="59">
        <f>IFERROR(INDEX(Productos!$D$5:$D$124,MATCH($C446,Productos!$A$5:$A$124,0)),"")</f>
        <v/>
      </c>
      <c r="F446" s="186" t="n">
        <v>1</v>
      </c>
      <c r="G446" s="68">
        <f>IFERROR(INDEX(Productos!$H$5:$H$124,MATCH($C446,Productos!$A$5:$A$124,0)),"")</f>
        <v/>
      </c>
      <c r="H446" s="185" t="n">
        <v>0</v>
      </c>
      <c r="I446" s="68">
        <f>IFERROR($G446*(1-$H446),"")</f>
        <v/>
      </c>
      <c r="J446" s="182" t="inlineStr">
        <is>
          <t>Contado</t>
        </is>
      </c>
      <c r="K446" s="69">
        <f>IF($J446="",0,IF($J446="Contado",Inicio!$C$26,IF($J446="Tarjeta",Inicio!$C$27,IF($J446="Crédito propio",Inicio!$C$28,0))))</f>
        <v/>
      </c>
      <c r="L446" s="68">
        <f>IFERROR($F446*$I446,"")</f>
        <v/>
      </c>
      <c r="M446" s="68">
        <f>IFERROR($F446*INDEX(Productos!$G$5:$G$124,MATCH($C446,Productos!$A$5:$A$124,0)),"")</f>
        <v/>
      </c>
      <c r="N446" s="68">
        <f>IFERROR($L446*$K446,"")</f>
        <v/>
      </c>
      <c r="O446" s="68">
        <f>IFERROR($L446-$M446,"")</f>
        <v/>
      </c>
      <c r="P446" s="68">
        <f>IFERROR($O446-$N446,"")</f>
        <v/>
      </c>
      <c r="Q446" s="69">
        <f>IFERROR($P446/$L446,"")</f>
        <v/>
      </c>
    </row>
    <row r="447" ht="15" customHeight="1" s="47">
      <c r="A447" s="183" t="n">
        <v>46209</v>
      </c>
      <c r="B447" s="182" t="inlineStr">
        <is>
          <t>T06</t>
        </is>
      </c>
      <c r="C447" s="182" t="inlineStr">
        <is>
          <t>EL-020</t>
        </is>
      </c>
      <c r="D447" s="59">
        <f>IFERROR(INDEX(Productos!$B$5:$B$124,MATCH($C447,Productos!$A$5:$A$124,0)),"")</f>
        <v/>
      </c>
      <c r="E447" s="59">
        <f>IFERROR(INDEX(Productos!$D$5:$D$124,MATCH($C447,Productos!$A$5:$A$124,0)),"")</f>
        <v/>
      </c>
      <c r="F447" s="186" t="n">
        <v>1</v>
      </c>
      <c r="G447" s="68">
        <f>IFERROR(INDEX(Productos!$H$5:$H$124,MATCH($C447,Productos!$A$5:$A$124,0)),"")</f>
        <v/>
      </c>
      <c r="H447" s="185" t="n">
        <v>0.03</v>
      </c>
      <c r="I447" s="68">
        <f>IFERROR($G447*(1-$H447),"")</f>
        <v/>
      </c>
      <c r="J447" s="182" t="inlineStr">
        <is>
          <t>Crédito propio</t>
        </is>
      </c>
      <c r="K447" s="69">
        <f>IF($J447="",0,IF($J447="Contado",Inicio!$C$26,IF($J447="Tarjeta",Inicio!$C$27,IF($J447="Crédito propio",Inicio!$C$28,0))))</f>
        <v/>
      </c>
      <c r="L447" s="68">
        <f>IFERROR($F447*$I447,"")</f>
        <v/>
      </c>
      <c r="M447" s="68">
        <f>IFERROR($F447*INDEX(Productos!$G$5:$G$124,MATCH($C447,Productos!$A$5:$A$124,0)),"")</f>
        <v/>
      </c>
      <c r="N447" s="68">
        <f>IFERROR($L447*$K447,"")</f>
        <v/>
      </c>
      <c r="O447" s="68">
        <f>IFERROR($L447-$M447,"")</f>
        <v/>
      </c>
      <c r="P447" s="68">
        <f>IFERROR($O447-$N447,"")</f>
        <v/>
      </c>
      <c r="Q447" s="69">
        <f>IFERROR($P447/$L447,"")</f>
        <v/>
      </c>
    </row>
    <row r="448" ht="15" customHeight="1" s="47">
      <c r="A448" s="183" t="n">
        <v>46209</v>
      </c>
      <c r="B448" s="182" t="inlineStr">
        <is>
          <t>T06</t>
        </is>
      </c>
      <c r="C448" s="182" t="inlineStr">
        <is>
          <t>EL-025</t>
        </is>
      </c>
      <c r="D448" s="59">
        <f>IFERROR(INDEX(Productos!$B$5:$B$124,MATCH($C448,Productos!$A$5:$A$124,0)),"")</f>
        <v/>
      </c>
      <c r="E448" s="59">
        <f>IFERROR(INDEX(Productos!$D$5:$D$124,MATCH($C448,Productos!$A$5:$A$124,0)),"")</f>
        <v/>
      </c>
      <c r="F448" s="186" t="n">
        <v>1</v>
      </c>
      <c r="G448" s="68">
        <f>IFERROR(INDEX(Productos!$H$5:$H$124,MATCH($C448,Productos!$A$5:$A$124,0)),"")</f>
        <v/>
      </c>
      <c r="H448" s="185" t="n">
        <v>0</v>
      </c>
      <c r="I448" s="68">
        <f>IFERROR($G448*(1-$H448),"")</f>
        <v/>
      </c>
      <c r="J448" s="182" t="inlineStr">
        <is>
          <t>Tarjeta</t>
        </is>
      </c>
      <c r="K448" s="69">
        <f>IF($J448="",0,IF($J448="Contado",Inicio!$C$26,IF($J448="Tarjeta",Inicio!$C$27,IF($J448="Crédito propio",Inicio!$C$28,0))))</f>
        <v/>
      </c>
      <c r="L448" s="68">
        <f>IFERROR($F448*$I448,"")</f>
        <v/>
      </c>
      <c r="M448" s="68">
        <f>IFERROR($F448*INDEX(Productos!$G$5:$G$124,MATCH($C448,Productos!$A$5:$A$124,0)),"")</f>
        <v/>
      </c>
      <c r="N448" s="68">
        <f>IFERROR($L448*$K448,"")</f>
        <v/>
      </c>
      <c r="O448" s="68">
        <f>IFERROR($L448-$M448,"")</f>
        <v/>
      </c>
      <c r="P448" s="68">
        <f>IFERROR($O448-$N448,"")</f>
        <v/>
      </c>
      <c r="Q448" s="69">
        <f>IFERROR($P448/$L448,"")</f>
        <v/>
      </c>
    </row>
    <row r="449" ht="15" customHeight="1" s="47">
      <c r="A449" s="183" t="n">
        <v>46209</v>
      </c>
      <c r="B449" s="182" t="inlineStr">
        <is>
          <t>T06</t>
        </is>
      </c>
      <c r="C449" s="182" t="inlineStr">
        <is>
          <t>EL-026</t>
        </is>
      </c>
      <c r="D449" s="59">
        <f>IFERROR(INDEX(Productos!$B$5:$B$124,MATCH($C449,Productos!$A$5:$A$124,0)),"")</f>
        <v/>
      </c>
      <c r="E449" s="59">
        <f>IFERROR(INDEX(Productos!$D$5:$D$124,MATCH($C449,Productos!$A$5:$A$124,0)),"")</f>
        <v/>
      </c>
      <c r="F449" s="186" t="n">
        <v>1</v>
      </c>
      <c r="G449" s="68">
        <f>IFERROR(INDEX(Productos!$H$5:$H$124,MATCH($C449,Productos!$A$5:$A$124,0)),"")</f>
        <v/>
      </c>
      <c r="H449" s="185" t="n">
        <v>0.06837606837606836</v>
      </c>
      <c r="I449" s="68">
        <f>IFERROR($G449*(1-$H449),"")</f>
        <v/>
      </c>
      <c r="J449" s="182" t="inlineStr">
        <is>
          <t>Tarjeta</t>
        </is>
      </c>
      <c r="K449" s="69">
        <f>IF($J449="",0,IF($J449="Contado",Inicio!$C$26,IF($J449="Tarjeta",Inicio!$C$27,IF($J449="Crédito propio",Inicio!$C$28,0))))</f>
        <v/>
      </c>
      <c r="L449" s="68">
        <f>IFERROR($F449*$I449,"")</f>
        <v/>
      </c>
      <c r="M449" s="68">
        <f>IFERROR($F449*INDEX(Productos!$G$5:$G$124,MATCH($C449,Productos!$A$5:$A$124,0)),"")</f>
        <v/>
      </c>
      <c r="N449" s="68">
        <f>IFERROR($L449*$K449,"")</f>
        <v/>
      </c>
      <c r="O449" s="68">
        <f>IFERROR($L449-$M449,"")</f>
        <v/>
      </c>
      <c r="P449" s="68">
        <f>IFERROR($O449-$N449,"")</f>
        <v/>
      </c>
      <c r="Q449" s="69">
        <f>IFERROR($P449/$L449,"")</f>
        <v/>
      </c>
    </row>
    <row r="450" ht="15" customHeight="1" s="47">
      <c r="A450" s="183" t="n">
        <v>46210</v>
      </c>
      <c r="B450" s="182" t="inlineStr">
        <is>
          <t>T01</t>
        </is>
      </c>
      <c r="C450" s="182" t="inlineStr">
        <is>
          <t>EL-001</t>
        </is>
      </c>
      <c r="D450" s="59">
        <f>IFERROR(INDEX(Productos!$B$5:$B$124,MATCH($C450,Productos!$A$5:$A$124,0)),"")</f>
        <v/>
      </c>
      <c r="E450" s="59">
        <f>IFERROR(INDEX(Productos!$D$5:$D$124,MATCH($C450,Productos!$A$5:$A$124,0)),"")</f>
        <v/>
      </c>
      <c r="F450" s="186" t="n">
        <v>1</v>
      </c>
      <c r="G450" s="68">
        <f>IFERROR(INDEX(Productos!$H$5:$H$124,MATCH($C450,Productos!$A$5:$A$124,0)),"")</f>
        <v/>
      </c>
      <c r="H450" s="185" t="n">
        <v>0.05</v>
      </c>
      <c r="I450" s="68">
        <f>IFERROR($G450*(1-$H450),"")</f>
        <v/>
      </c>
      <c r="J450" s="182" t="inlineStr">
        <is>
          <t>Tarjeta</t>
        </is>
      </c>
      <c r="K450" s="69">
        <f>IF($J450="",0,IF($J450="Contado",Inicio!$C$26,IF($J450="Tarjeta",Inicio!$C$27,IF($J450="Crédito propio",Inicio!$C$28,0))))</f>
        <v/>
      </c>
      <c r="L450" s="68">
        <f>IFERROR($F450*$I450,"")</f>
        <v/>
      </c>
      <c r="M450" s="68">
        <f>IFERROR($F450*INDEX(Productos!$G$5:$G$124,MATCH($C450,Productos!$A$5:$A$124,0)),"")</f>
        <v/>
      </c>
      <c r="N450" s="68">
        <f>IFERROR($L450*$K450,"")</f>
        <v/>
      </c>
      <c r="O450" s="68">
        <f>IFERROR($L450-$M450,"")</f>
        <v/>
      </c>
      <c r="P450" s="68">
        <f>IFERROR($O450-$N450,"")</f>
        <v/>
      </c>
      <c r="Q450" s="69">
        <f>IFERROR($P450/$L450,"")</f>
        <v/>
      </c>
    </row>
    <row r="451" ht="15" customHeight="1" s="47">
      <c r="A451" s="183" t="n">
        <v>46210</v>
      </c>
      <c r="B451" s="182" t="inlineStr">
        <is>
          <t>T01</t>
        </is>
      </c>
      <c r="C451" s="182" t="inlineStr">
        <is>
          <t>EL-003</t>
        </is>
      </c>
      <c r="D451" s="59">
        <f>IFERROR(INDEX(Productos!$B$5:$B$124,MATCH($C451,Productos!$A$5:$A$124,0)),"")</f>
        <v/>
      </c>
      <c r="E451" s="59">
        <f>IFERROR(INDEX(Productos!$D$5:$D$124,MATCH($C451,Productos!$A$5:$A$124,0)),"")</f>
        <v/>
      </c>
      <c r="F451" s="186" t="n">
        <v>1</v>
      </c>
      <c r="G451" s="68">
        <f>IFERROR(INDEX(Productos!$H$5:$H$124,MATCH($C451,Productos!$A$5:$A$124,0)),"")</f>
        <v/>
      </c>
      <c r="H451" s="185" t="n">
        <v>0.05</v>
      </c>
      <c r="I451" s="68">
        <f>IFERROR($G451*(1-$H451),"")</f>
        <v/>
      </c>
      <c r="J451" s="182" t="inlineStr">
        <is>
          <t>Tarjeta</t>
        </is>
      </c>
      <c r="K451" s="69">
        <f>IF($J451="",0,IF($J451="Contado",Inicio!$C$26,IF($J451="Tarjeta",Inicio!$C$27,IF($J451="Crédito propio",Inicio!$C$28,0))))</f>
        <v/>
      </c>
      <c r="L451" s="68">
        <f>IFERROR($F451*$I451,"")</f>
        <v/>
      </c>
      <c r="M451" s="68">
        <f>IFERROR($F451*INDEX(Productos!$G$5:$G$124,MATCH($C451,Productos!$A$5:$A$124,0)),"")</f>
        <v/>
      </c>
      <c r="N451" s="68">
        <f>IFERROR($L451*$K451,"")</f>
        <v/>
      </c>
      <c r="O451" s="68">
        <f>IFERROR($L451-$M451,"")</f>
        <v/>
      </c>
      <c r="P451" s="68">
        <f>IFERROR($O451-$N451,"")</f>
        <v/>
      </c>
      <c r="Q451" s="69">
        <f>IFERROR($P451/$L451,"")</f>
        <v/>
      </c>
    </row>
    <row r="452" ht="15" customHeight="1" s="47">
      <c r="A452" s="183" t="n">
        <v>46210</v>
      </c>
      <c r="B452" s="182" t="inlineStr">
        <is>
          <t>T01</t>
        </is>
      </c>
      <c r="C452" s="182" t="inlineStr">
        <is>
          <t>EL-006</t>
        </is>
      </c>
      <c r="D452" s="59">
        <f>IFERROR(INDEX(Productos!$B$5:$B$124,MATCH($C452,Productos!$A$5:$A$124,0)),"")</f>
        <v/>
      </c>
      <c r="E452" s="59">
        <f>IFERROR(INDEX(Productos!$D$5:$D$124,MATCH($C452,Productos!$A$5:$A$124,0)),"")</f>
        <v/>
      </c>
      <c r="F452" s="186" t="n">
        <v>1</v>
      </c>
      <c r="G452" s="68">
        <f>IFERROR(INDEX(Productos!$H$5:$H$124,MATCH($C452,Productos!$A$5:$A$124,0)),"")</f>
        <v/>
      </c>
      <c r="H452" s="185" t="n">
        <v>0</v>
      </c>
      <c r="I452" s="68">
        <f>IFERROR($G452*(1-$H452),"")</f>
        <v/>
      </c>
      <c r="J452" s="182" t="inlineStr">
        <is>
          <t>Crédito propio</t>
        </is>
      </c>
      <c r="K452" s="69">
        <f>IF($J452="",0,IF($J452="Contado",Inicio!$C$26,IF($J452="Tarjeta",Inicio!$C$27,IF($J452="Crédito propio",Inicio!$C$28,0))))</f>
        <v/>
      </c>
      <c r="L452" s="68">
        <f>IFERROR($F452*$I452,"")</f>
        <v/>
      </c>
      <c r="M452" s="68">
        <f>IFERROR($F452*INDEX(Productos!$G$5:$G$124,MATCH($C452,Productos!$A$5:$A$124,0)),"")</f>
        <v/>
      </c>
      <c r="N452" s="68">
        <f>IFERROR($L452*$K452,"")</f>
        <v/>
      </c>
      <c r="O452" s="68">
        <f>IFERROR($L452-$M452,"")</f>
        <v/>
      </c>
      <c r="P452" s="68">
        <f>IFERROR($O452-$N452,"")</f>
        <v/>
      </c>
      <c r="Q452" s="69">
        <f>IFERROR($P452/$L452,"")</f>
        <v/>
      </c>
    </row>
    <row r="453" ht="15" customHeight="1" s="47">
      <c r="A453" s="183" t="n">
        <v>46210</v>
      </c>
      <c r="B453" s="182" t="inlineStr">
        <is>
          <t>T01</t>
        </is>
      </c>
      <c r="C453" s="182" t="inlineStr">
        <is>
          <t>EL-016</t>
        </is>
      </c>
      <c r="D453" s="59">
        <f>IFERROR(INDEX(Productos!$B$5:$B$124,MATCH($C453,Productos!$A$5:$A$124,0)),"")</f>
        <v/>
      </c>
      <c r="E453" s="59">
        <f>IFERROR(INDEX(Productos!$D$5:$D$124,MATCH($C453,Productos!$A$5:$A$124,0)),"")</f>
        <v/>
      </c>
      <c r="F453" s="186" t="n">
        <v>1</v>
      </c>
      <c r="G453" s="68">
        <f>IFERROR(INDEX(Productos!$H$5:$H$124,MATCH($C453,Productos!$A$5:$A$124,0)),"")</f>
        <v/>
      </c>
      <c r="H453" s="185" t="n">
        <v>0.05</v>
      </c>
      <c r="I453" s="68">
        <f>IFERROR($G453*(1-$H453),"")</f>
        <v/>
      </c>
      <c r="J453" s="182" t="inlineStr">
        <is>
          <t>Crédito propio</t>
        </is>
      </c>
      <c r="K453" s="69">
        <f>IF($J453="",0,IF($J453="Contado",Inicio!$C$26,IF($J453="Tarjeta",Inicio!$C$27,IF($J453="Crédito propio",Inicio!$C$28,0))))</f>
        <v/>
      </c>
      <c r="L453" s="68">
        <f>IFERROR($F453*$I453,"")</f>
        <v/>
      </c>
      <c r="M453" s="68">
        <f>IFERROR($F453*INDEX(Productos!$G$5:$G$124,MATCH($C453,Productos!$A$5:$A$124,0)),"")</f>
        <v/>
      </c>
      <c r="N453" s="68">
        <f>IFERROR($L453*$K453,"")</f>
        <v/>
      </c>
      <c r="O453" s="68">
        <f>IFERROR($L453-$M453,"")</f>
        <v/>
      </c>
      <c r="P453" s="68">
        <f>IFERROR($O453-$N453,"")</f>
        <v/>
      </c>
      <c r="Q453" s="69">
        <f>IFERROR($P453/$L453,"")</f>
        <v/>
      </c>
    </row>
    <row r="454" ht="15" customHeight="1" s="47">
      <c r="A454" s="183" t="n">
        <v>46210</v>
      </c>
      <c r="B454" s="182" t="inlineStr">
        <is>
          <t>T01</t>
        </is>
      </c>
      <c r="C454" s="182" t="inlineStr">
        <is>
          <t>EL-018</t>
        </is>
      </c>
      <c r="D454" s="59">
        <f>IFERROR(INDEX(Productos!$B$5:$B$124,MATCH($C454,Productos!$A$5:$A$124,0)),"")</f>
        <v/>
      </c>
      <c r="E454" s="59">
        <f>IFERROR(INDEX(Productos!$D$5:$D$124,MATCH($C454,Productos!$A$5:$A$124,0)),"")</f>
        <v/>
      </c>
      <c r="F454" s="186" t="n">
        <v>1</v>
      </c>
      <c r="G454" s="68">
        <f>IFERROR(INDEX(Productos!$H$5:$H$124,MATCH($C454,Productos!$A$5:$A$124,0)),"")</f>
        <v/>
      </c>
      <c r="H454" s="185" t="n">
        <v>0.03</v>
      </c>
      <c r="I454" s="68">
        <f>IFERROR($G454*(1-$H454),"")</f>
        <v/>
      </c>
      <c r="J454" s="182" t="inlineStr">
        <is>
          <t>Tarjeta</t>
        </is>
      </c>
      <c r="K454" s="69">
        <f>IF($J454="",0,IF($J454="Contado",Inicio!$C$26,IF($J454="Tarjeta",Inicio!$C$27,IF($J454="Crédito propio",Inicio!$C$28,0))))</f>
        <v/>
      </c>
      <c r="L454" s="68">
        <f>IFERROR($F454*$I454,"")</f>
        <v/>
      </c>
      <c r="M454" s="68">
        <f>IFERROR($F454*INDEX(Productos!$G$5:$G$124,MATCH($C454,Productos!$A$5:$A$124,0)),"")</f>
        <v/>
      </c>
      <c r="N454" s="68">
        <f>IFERROR($L454*$K454,"")</f>
        <v/>
      </c>
      <c r="O454" s="68">
        <f>IFERROR($L454-$M454,"")</f>
        <v/>
      </c>
      <c r="P454" s="68">
        <f>IFERROR($O454-$N454,"")</f>
        <v/>
      </c>
      <c r="Q454" s="69">
        <f>IFERROR($P454/$L454,"")</f>
        <v/>
      </c>
    </row>
    <row r="455" ht="15" customHeight="1" s="47">
      <c r="A455" s="183" t="n">
        <v>46210</v>
      </c>
      <c r="B455" s="182" t="inlineStr">
        <is>
          <t>T01</t>
        </is>
      </c>
      <c r="C455" s="182" t="inlineStr">
        <is>
          <t>EL-019</t>
        </is>
      </c>
      <c r="D455" s="59">
        <f>IFERROR(INDEX(Productos!$B$5:$B$124,MATCH($C455,Productos!$A$5:$A$124,0)),"")</f>
        <v/>
      </c>
      <c r="E455" s="59">
        <f>IFERROR(INDEX(Productos!$D$5:$D$124,MATCH($C455,Productos!$A$5:$A$124,0)),"")</f>
        <v/>
      </c>
      <c r="F455" s="186" t="n">
        <v>1</v>
      </c>
      <c r="G455" s="68">
        <f>IFERROR(INDEX(Productos!$H$5:$H$124,MATCH($C455,Productos!$A$5:$A$124,0)),"")</f>
        <v/>
      </c>
      <c r="H455" s="185" t="n">
        <v>0</v>
      </c>
      <c r="I455" s="68">
        <f>IFERROR($G455*(1-$H455),"")</f>
        <v/>
      </c>
      <c r="J455" s="182" t="inlineStr">
        <is>
          <t>Crédito propio</t>
        </is>
      </c>
      <c r="K455" s="69">
        <f>IF($J455="",0,IF($J455="Contado",Inicio!$C$26,IF($J455="Tarjeta",Inicio!$C$27,IF($J455="Crédito propio",Inicio!$C$28,0))))</f>
        <v/>
      </c>
      <c r="L455" s="68">
        <f>IFERROR($F455*$I455,"")</f>
        <v/>
      </c>
      <c r="M455" s="68">
        <f>IFERROR($F455*INDEX(Productos!$G$5:$G$124,MATCH($C455,Productos!$A$5:$A$124,0)),"")</f>
        <v/>
      </c>
      <c r="N455" s="68">
        <f>IFERROR($L455*$K455,"")</f>
        <v/>
      </c>
      <c r="O455" s="68">
        <f>IFERROR($L455-$M455,"")</f>
        <v/>
      </c>
      <c r="P455" s="68">
        <f>IFERROR($O455-$N455,"")</f>
        <v/>
      </c>
      <c r="Q455" s="69">
        <f>IFERROR($P455/$L455,"")</f>
        <v/>
      </c>
    </row>
    <row r="456" ht="15" customHeight="1" s="47">
      <c r="A456" s="183" t="n">
        <v>46210</v>
      </c>
      <c r="B456" s="182" t="inlineStr">
        <is>
          <t>T01</t>
        </is>
      </c>
      <c r="C456" s="182" t="inlineStr">
        <is>
          <t>EL-020</t>
        </is>
      </c>
      <c r="D456" s="59">
        <f>IFERROR(INDEX(Productos!$B$5:$B$124,MATCH($C456,Productos!$A$5:$A$124,0)),"")</f>
        <v/>
      </c>
      <c r="E456" s="59">
        <f>IFERROR(INDEX(Productos!$D$5:$D$124,MATCH($C456,Productos!$A$5:$A$124,0)),"")</f>
        <v/>
      </c>
      <c r="F456" s="186" t="n">
        <v>2</v>
      </c>
      <c r="G456" s="68">
        <f>IFERROR(INDEX(Productos!$H$5:$H$124,MATCH($C456,Productos!$A$5:$A$124,0)),"")</f>
        <v/>
      </c>
      <c r="H456" s="185" t="n">
        <v>0</v>
      </c>
      <c r="I456" s="68">
        <f>IFERROR($G456*(1-$H456),"")</f>
        <v/>
      </c>
      <c r="J456" s="182" t="inlineStr">
        <is>
          <t>Crédito propio</t>
        </is>
      </c>
      <c r="K456" s="69">
        <f>IF($J456="",0,IF($J456="Contado",Inicio!$C$26,IF($J456="Tarjeta",Inicio!$C$27,IF($J456="Crédito propio",Inicio!$C$28,0))))</f>
        <v/>
      </c>
      <c r="L456" s="68">
        <f>IFERROR($F456*$I456,"")</f>
        <v/>
      </c>
      <c r="M456" s="68">
        <f>IFERROR($F456*INDEX(Productos!$G$5:$G$124,MATCH($C456,Productos!$A$5:$A$124,0)),"")</f>
        <v/>
      </c>
      <c r="N456" s="68">
        <f>IFERROR($L456*$K456,"")</f>
        <v/>
      </c>
      <c r="O456" s="68">
        <f>IFERROR($L456-$M456,"")</f>
        <v/>
      </c>
      <c r="P456" s="68">
        <f>IFERROR($O456-$N456,"")</f>
        <v/>
      </c>
      <c r="Q456" s="69">
        <f>IFERROR($P456/$L456,"")</f>
        <v/>
      </c>
    </row>
    <row r="457" ht="15" customHeight="1" s="47">
      <c r="A457" s="183" t="n">
        <v>46210</v>
      </c>
      <c r="B457" s="182" t="inlineStr">
        <is>
          <t>T01</t>
        </is>
      </c>
      <c r="C457" s="182" t="inlineStr">
        <is>
          <t>EL-021</t>
        </is>
      </c>
      <c r="D457" s="59">
        <f>IFERROR(INDEX(Productos!$B$5:$B$124,MATCH($C457,Productos!$A$5:$A$124,0)),"")</f>
        <v/>
      </c>
      <c r="E457" s="59">
        <f>IFERROR(INDEX(Productos!$D$5:$D$124,MATCH($C457,Productos!$A$5:$A$124,0)),"")</f>
        <v/>
      </c>
      <c r="F457" s="186" t="n">
        <v>1</v>
      </c>
      <c r="G457" s="68">
        <f>IFERROR(INDEX(Productos!$H$5:$H$124,MATCH($C457,Productos!$A$5:$A$124,0)),"")</f>
        <v/>
      </c>
      <c r="H457" s="185" t="n">
        <v>0.05</v>
      </c>
      <c r="I457" s="68">
        <f>IFERROR($G457*(1-$H457),"")</f>
        <v/>
      </c>
      <c r="J457" s="182" t="inlineStr">
        <is>
          <t>Crédito propio</t>
        </is>
      </c>
      <c r="K457" s="69">
        <f>IF($J457="",0,IF($J457="Contado",Inicio!$C$26,IF($J457="Tarjeta",Inicio!$C$27,IF($J457="Crédito propio",Inicio!$C$28,0))))</f>
        <v/>
      </c>
      <c r="L457" s="68">
        <f>IFERROR($F457*$I457,"")</f>
        <v/>
      </c>
      <c r="M457" s="68">
        <f>IFERROR($F457*INDEX(Productos!$G$5:$G$124,MATCH($C457,Productos!$A$5:$A$124,0)),"")</f>
        <v/>
      </c>
      <c r="N457" s="68">
        <f>IFERROR($L457*$K457,"")</f>
        <v/>
      </c>
      <c r="O457" s="68">
        <f>IFERROR($L457-$M457,"")</f>
        <v/>
      </c>
      <c r="P457" s="68">
        <f>IFERROR($O457-$N457,"")</f>
        <v/>
      </c>
      <c r="Q457" s="69">
        <f>IFERROR($P457/$L457,"")</f>
        <v/>
      </c>
    </row>
    <row r="458" ht="15" customHeight="1" s="47">
      <c r="A458" s="183" t="n">
        <v>46210</v>
      </c>
      <c r="B458" s="182" t="inlineStr">
        <is>
          <t>T01</t>
        </is>
      </c>
      <c r="C458" s="182" t="inlineStr">
        <is>
          <t>EL-022</t>
        </is>
      </c>
      <c r="D458" s="59">
        <f>IFERROR(INDEX(Productos!$B$5:$B$124,MATCH($C458,Productos!$A$5:$A$124,0)),"")</f>
        <v/>
      </c>
      <c r="E458" s="59">
        <f>IFERROR(INDEX(Productos!$D$5:$D$124,MATCH($C458,Productos!$A$5:$A$124,0)),"")</f>
        <v/>
      </c>
      <c r="F458" s="186" t="n">
        <v>1</v>
      </c>
      <c r="G458" s="68">
        <f>IFERROR(INDEX(Productos!$H$5:$H$124,MATCH($C458,Productos!$A$5:$A$124,0)),"")</f>
        <v/>
      </c>
      <c r="H458" s="185" t="n">
        <v>0</v>
      </c>
      <c r="I458" s="68">
        <f>IFERROR($G458*(1-$H458),"")</f>
        <v/>
      </c>
      <c r="J458" s="182" t="inlineStr">
        <is>
          <t>Tarjeta</t>
        </is>
      </c>
      <c r="K458" s="69">
        <f>IF($J458="",0,IF($J458="Contado",Inicio!$C$26,IF($J458="Tarjeta",Inicio!$C$27,IF($J458="Crédito propio",Inicio!$C$28,0))))</f>
        <v/>
      </c>
      <c r="L458" s="68">
        <f>IFERROR($F458*$I458,"")</f>
        <v/>
      </c>
      <c r="M458" s="68">
        <f>IFERROR($F458*INDEX(Productos!$G$5:$G$124,MATCH($C458,Productos!$A$5:$A$124,0)),"")</f>
        <v/>
      </c>
      <c r="N458" s="68">
        <f>IFERROR($L458*$K458,"")</f>
        <v/>
      </c>
      <c r="O458" s="68">
        <f>IFERROR($L458-$M458,"")</f>
        <v/>
      </c>
      <c r="P458" s="68">
        <f>IFERROR($O458-$N458,"")</f>
        <v/>
      </c>
      <c r="Q458" s="69">
        <f>IFERROR($P458/$L458,"")</f>
        <v/>
      </c>
    </row>
    <row r="459" ht="15" customHeight="1" s="47">
      <c r="A459" s="183" t="n">
        <v>46210</v>
      </c>
      <c r="B459" s="182" t="inlineStr">
        <is>
          <t>T01</t>
        </is>
      </c>
      <c r="C459" s="182" t="inlineStr">
        <is>
          <t>EL-024</t>
        </is>
      </c>
      <c r="D459" s="59">
        <f>IFERROR(INDEX(Productos!$B$5:$B$124,MATCH($C459,Productos!$A$5:$A$124,0)),"")</f>
        <v/>
      </c>
      <c r="E459" s="59">
        <f>IFERROR(INDEX(Productos!$D$5:$D$124,MATCH($C459,Productos!$A$5:$A$124,0)),"")</f>
        <v/>
      </c>
      <c r="F459" s="186" t="n">
        <v>1</v>
      </c>
      <c r="G459" s="68">
        <f>IFERROR(INDEX(Productos!$H$5:$H$124,MATCH($C459,Productos!$A$5:$A$124,0)),"")</f>
        <v/>
      </c>
      <c r="H459" s="185" t="n">
        <v>0.03</v>
      </c>
      <c r="I459" s="68">
        <f>IFERROR($G459*(1-$H459),"")</f>
        <v/>
      </c>
      <c r="J459" s="182" t="inlineStr">
        <is>
          <t>Crédito propio</t>
        </is>
      </c>
      <c r="K459" s="69">
        <f>IF($J459="",0,IF($J459="Contado",Inicio!$C$26,IF($J459="Tarjeta",Inicio!$C$27,IF($J459="Crédito propio",Inicio!$C$28,0))))</f>
        <v/>
      </c>
      <c r="L459" s="68">
        <f>IFERROR($F459*$I459,"")</f>
        <v/>
      </c>
      <c r="M459" s="68">
        <f>IFERROR($F459*INDEX(Productos!$G$5:$G$124,MATCH($C459,Productos!$A$5:$A$124,0)),"")</f>
        <v/>
      </c>
      <c r="N459" s="68">
        <f>IFERROR($L459*$K459,"")</f>
        <v/>
      </c>
      <c r="O459" s="68">
        <f>IFERROR($L459-$M459,"")</f>
        <v/>
      </c>
      <c r="P459" s="68">
        <f>IFERROR($O459-$N459,"")</f>
        <v/>
      </c>
      <c r="Q459" s="69">
        <f>IFERROR($P459/$L459,"")</f>
        <v/>
      </c>
    </row>
    <row r="460" ht="15" customHeight="1" s="47">
      <c r="A460" s="183" t="n">
        <v>46210</v>
      </c>
      <c r="B460" s="182" t="inlineStr">
        <is>
          <t>T01</t>
        </is>
      </c>
      <c r="C460" s="182" t="inlineStr">
        <is>
          <t>EL-025</t>
        </is>
      </c>
      <c r="D460" s="59">
        <f>IFERROR(INDEX(Productos!$B$5:$B$124,MATCH($C460,Productos!$A$5:$A$124,0)),"")</f>
        <v/>
      </c>
      <c r="E460" s="59">
        <f>IFERROR(INDEX(Productos!$D$5:$D$124,MATCH($C460,Productos!$A$5:$A$124,0)),"")</f>
        <v/>
      </c>
      <c r="F460" s="186" t="n">
        <v>1</v>
      </c>
      <c r="G460" s="68">
        <f>IFERROR(INDEX(Productos!$H$5:$H$124,MATCH($C460,Productos!$A$5:$A$124,0)),"")</f>
        <v/>
      </c>
      <c r="H460" s="185" t="n">
        <v>0.07079646017699115</v>
      </c>
      <c r="I460" s="68">
        <f>IFERROR($G460*(1-$H460),"")</f>
        <v/>
      </c>
      <c r="J460" s="182" t="inlineStr">
        <is>
          <t>Crédito propio</t>
        </is>
      </c>
      <c r="K460" s="69">
        <f>IF($J460="",0,IF($J460="Contado",Inicio!$C$26,IF($J460="Tarjeta",Inicio!$C$27,IF($J460="Crédito propio",Inicio!$C$28,0))))</f>
        <v/>
      </c>
      <c r="L460" s="68">
        <f>IFERROR($F460*$I460,"")</f>
        <v/>
      </c>
      <c r="M460" s="68">
        <f>IFERROR($F460*INDEX(Productos!$G$5:$G$124,MATCH($C460,Productos!$A$5:$A$124,0)),"")</f>
        <v/>
      </c>
      <c r="N460" s="68">
        <f>IFERROR($L460*$K460,"")</f>
        <v/>
      </c>
      <c r="O460" s="68">
        <f>IFERROR($L460-$M460,"")</f>
        <v/>
      </c>
      <c r="P460" s="68">
        <f>IFERROR($O460-$N460,"")</f>
        <v/>
      </c>
      <c r="Q460" s="69">
        <f>IFERROR($P460/$L460,"")</f>
        <v/>
      </c>
    </row>
    <row r="461" ht="15" customHeight="1" s="47">
      <c r="A461" s="183" t="n">
        <v>46210</v>
      </c>
      <c r="B461" s="182" t="inlineStr">
        <is>
          <t>T01</t>
        </is>
      </c>
      <c r="C461" s="182" t="inlineStr">
        <is>
          <t>EL-026</t>
        </is>
      </c>
      <c r="D461" s="59">
        <f>IFERROR(INDEX(Productos!$B$5:$B$124,MATCH($C461,Productos!$A$5:$A$124,0)),"")</f>
        <v/>
      </c>
      <c r="E461" s="59">
        <f>IFERROR(INDEX(Productos!$D$5:$D$124,MATCH($C461,Productos!$A$5:$A$124,0)),"")</f>
        <v/>
      </c>
      <c r="F461" s="186" t="n">
        <v>1</v>
      </c>
      <c r="G461" s="68">
        <f>IFERROR(INDEX(Productos!$H$5:$H$124,MATCH($C461,Productos!$A$5:$A$124,0)),"")</f>
        <v/>
      </c>
      <c r="H461" s="185" t="n">
        <v>0.05</v>
      </c>
      <c r="I461" s="68">
        <f>IFERROR($G461*(1-$H461),"")</f>
        <v/>
      </c>
      <c r="J461" s="182" t="inlineStr">
        <is>
          <t>Tarjeta</t>
        </is>
      </c>
      <c r="K461" s="69">
        <f>IF($J461="",0,IF($J461="Contado",Inicio!$C$26,IF($J461="Tarjeta",Inicio!$C$27,IF($J461="Crédito propio",Inicio!$C$28,0))))</f>
        <v/>
      </c>
      <c r="L461" s="68">
        <f>IFERROR($F461*$I461,"")</f>
        <v/>
      </c>
      <c r="M461" s="68">
        <f>IFERROR($F461*INDEX(Productos!$G$5:$G$124,MATCH($C461,Productos!$A$5:$A$124,0)),"")</f>
        <v/>
      </c>
      <c r="N461" s="68">
        <f>IFERROR($L461*$K461,"")</f>
        <v/>
      </c>
      <c r="O461" s="68">
        <f>IFERROR($L461-$M461,"")</f>
        <v/>
      </c>
      <c r="P461" s="68">
        <f>IFERROR($O461-$N461,"")</f>
        <v/>
      </c>
      <c r="Q461" s="69">
        <f>IFERROR($P461/$L461,"")</f>
        <v/>
      </c>
    </row>
    <row r="462" ht="15" customHeight="1" s="47">
      <c r="A462" s="183" t="n">
        <v>46210</v>
      </c>
      <c r="B462" s="182" t="inlineStr">
        <is>
          <t>T01</t>
        </is>
      </c>
      <c r="C462" s="182" t="inlineStr">
        <is>
          <t>EL-027</t>
        </is>
      </c>
      <c r="D462" s="59">
        <f>IFERROR(INDEX(Productos!$B$5:$B$124,MATCH($C462,Productos!$A$5:$A$124,0)),"")</f>
        <v/>
      </c>
      <c r="E462" s="59">
        <f>IFERROR(INDEX(Productos!$D$5:$D$124,MATCH($C462,Productos!$A$5:$A$124,0)),"")</f>
        <v/>
      </c>
      <c r="F462" s="186" t="n">
        <v>1</v>
      </c>
      <c r="G462" s="68">
        <f>IFERROR(INDEX(Productos!$H$5:$H$124,MATCH($C462,Productos!$A$5:$A$124,0)),"")</f>
        <v/>
      </c>
      <c r="H462" s="185" t="n">
        <v>0.03</v>
      </c>
      <c r="I462" s="68">
        <f>IFERROR($G462*(1-$H462),"")</f>
        <v/>
      </c>
      <c r="J462" s="182" t="inlineStr">
        <is>
          <t>Tarjeta</t>
        </is>
      </c>
      <c r="K462" s="69">
        <f>IF($J462="",0,IF($J462="Contado",Inicio!$C$26,IF($J462="Tarjeta",Inicio!$C$27,IF($J462="Crédito propio",Inicio!$C$28,0))))</f>
        <v/>
      </c>
      <c r="L462" s="68">
        <f>IFERROR($F462*$I462,"")</f>
        <v/>
      </c>
      <c r="M462" s="68">
        <f>IFERROR($F462*INDEX(Productos!$G$5:$G$124,MATCH($C462,Productos!$A$5:$A$124,0)),"")</f>
        <v/>
      </c>
      <c r="N462" s="68">
        <f>IFERROR($L462*$K462,"")</f>
        <v/>
      </c>
      <c r="O462" s="68">
        <f>IFERROR($L462-$M462,"")</f>
        <v/>
      </c>
      <c r="P462" s="68">
        <f>IFERROR($O462-$N462,"")</f>
        <v/>
      </c>
      <c r="Q462" s="69">
        <f>IFERROR($P462/$L462,"")</f>
        <v/>
      </c>
    </row>
    <row r="463" ht="15" customHeight="1" s="47">
      <c r="A463" s="183" t="n">
        <v>46210</v>
      </c>
      <c r="B463" s="182" t="inlineStr">
        <is>
          <t>T01</t>
        </is>
      </c>
      <c r="C463" s="182" t="inlineStr">
        <is>
          <t>EL-030</t>
        </is>
      </c>
      <c r="D463" s="59">
        <f>IFERROR(INDEX(Productos!$B$5:$B$124,MATCH($C463,Productos!$A$5:$A$124,0)),"")</f>
        <v/>
      </c>
      <c r="E463" s="59">
        <f>IFERROR(INDEX(Productos!$D$5:$D$124,MATCH($C463,Productos!$A$5:$A$124,0)),"")</f>
        <v/>
      </c>
      <c r="F463" s="186" t="n">
        <v>1</v>
      </c>
      <c r="G463" s="68">
        <f>IFERROR(INDEX(Productos!$H$5:$H$124,MATCH($C463,Productos!$A$5:$A$124,0)),"")</f>
        <v/>
      </c>
      <c r="H463" s="185" t="n">
        <v>0.05</v>
      </c>
      <c r="I463" s="68">
        <f>IFERROR($G463*(1-$H463),"")</f>
        <v/>
      </c>
      <c r="J463" s="182" t="inlineStr">
        <is>
          <t>Crédito propio</t>
        </is>
      </c>
      <c r="K463" s="69">
        <f>IF($J463="",0,IF($J463="Contado",Inicio!$C$26,IF($J463="Tarjeta",Inicio!$C$27,IF($J463="Crédito propio",Inicio!$C$28,0))))</f>
        <v/>
      </c>
      <c r="L463" s="68">
        <f>IFERROR($F463*$I463,"")</f>
        <v/>
      </c>
      <c r="M463" s="68">
        <f>IFERROR($F463*INDEX(Productos!$G$5:$G$124,MATCH($C463,Productos!$A$5:$A$124,0)),"")</f>
        <v/>
      </c>
      <c r="N463" s="68">
        <f>IFERROR($L463*$K463,"")</f>
        <v/>
      </c>
      <c r="O463" s="68">
        <f>IFERROR($L463-$M463,"")</f>
        <v/>
      </c>
      <c r="P463" s="68">
        <f>IFERROR($O463-$N463,"")</f>
        <v/>
      </c>
      <c r="Q463" s="69">
        <f>IFERROR($P463/$L463,"")</f>
        <v/>
      </c>
    </row>
    <row r="464" ht="15" customHeight="1" s="47">
      <c r="A464" s="183" t="n">
        <v>46210</v>
      </c>
      <c r="B464" s="182" t="inlineStr">
        <is>
          <t>T01</t>
        </is>
      </c>
      <c r="C464" s="182" t="inlineStr">
        <is>
          <t>EL-037</t>
        </is>
      </c>
      <c r="D464" s="59">
        <f>IFERROR(INDEX(Productos!$B$5:$B$124,MATCH($C464,Productos!$A$5:$A$124,0)),"")</f>
        <v/>
      </c>
      <c r="E464" s="59">
        <f>IFERROR(INDEX(Productos!$D$5:$D$124,MATCH($C464,Productos!$A$5:$A$124,0)),"")</f>
        <v/>
      </c>
      <c r="F464" s="186" t="n">
        <v>1</v>
      </c>
      <c r="G464" s="68">
        <f>IFERROR(INDEX(Productos!$H$5:$H$124,MATCH($C464,Productos!$A$5:$A$124,0)),"")</f>
        <v/>
      </c>
      <c r="H464" s="185" t="n">
        <v>0</v>
      </c>
      <c r="I464" s="68">
        <f>IFERROR($G464*(1-$H464),"")</f>
        <v/>
      </c>
      <c r="J464" s="182" t="inlineStr">
        <is>
          <t>Tarjeta</t>
        </is>
      </c>
      <c r="K464" s="69">
        <f>IF($J464="",0,IF($J464="Contado",Inicio!$C$26,IF($J464="Tarjeta",Inicio!$C$27,IF($J464="Crédito propio",Inicio!$C$28,0))))</f>
        <v/>
      </c>
      <c r="L464" s="68">
        <f>IFERROR($F464*$I464,"")</f>
        <v/>
      </c>
      <c r="M464" s="68">
        <f>IFERROR($F464*INDEX(Productos!$G$5:$G$124,MATCH($C464,Productos!$A$5:$A$124,0)),"")</f>
        <v/>
      </c>
      <c r="N464" s="68">
        <f>IFERROR($L464*$K464,"")</f>
        <v/>
      </c>
      <c r="O464" s="68">
        <f>IFERROR($L464-$M464,"")</f>
        <v/>
      </c>
      <c r="P464" s="68">
        <f>IFERROR($O464-$N464,"")</f>
        <v/>
      </c>
      <c r="Q464" s="69">
        <f>IFERROR($P464/$L464,"")</f>
        <v/>
      </c>
    </row>
    <row r="465" ht="15" customHeight="1" s="47">
      <c r="A465" s="183" t="n">
        <v>46210</v>
      </c>
      <c r="B465" s="182" t="inlineStr">
        <is>
          <t>T01</t>
        </is>
      </c>
      <c r="C465" s="182" t="inlineStr">
        <is>
          <t>EL-042</t>
        </is>
      </c>
      <c r="D465" s="59">
        <f>IFERROR(INDEX(Productos!$B$5:$B$124,MATCH($C465,Productos!$A$5:$A$124,0)),"")</f>
        <v/>
      </c>
      <c r="E465" s="59">
        <f>IFERROR(INDEX(Productos!$D$5:$D$124,MATCH($C465,Productos!$A$5:$A$124,0)),"")</f>
        <v/>
      </c>
      <c r="F465" s="186" t="n">
        <v>1</v>
      </c>
      <c r="G465" s="68">
        <f>IFERROR(INDEX(Productos!$H$5:$H$124,MATCH($C465,Productos!$A$5:$A$124,0)),"")</f>
        <v/>
      </c>
      <c r="H465" s="185" t="n">
        <v>0</v>
      </c>
      <c r="I465" s="68">
        <f>IFERROR($G465*(1-$H465),"")</f>
        <v/>
      </c>
      <c r="J465" s="182" t="inlineStr">
        <is>
          <t>Tarjeta</t>
        </is>
      </c>
      <c r="K465" s="69">
        <f>IF($J465="",0,IF($J465="Contado",Inicio!$C$26,IF($J465="Tarjeta",Inicio!$C$27,IF($J465="Crédito propio",Inicio!$C$28,0))))</f>
        <v/>
      </c>
      <c r="L465" s="68">
        <f>IFERROR($F465*$I465,"")</f>
        <v/>
      </c>
      <c r="M465" s="68">
        <f>IFERROR($F465*INDEX(Productos!$G$5:$G$124,MATCH($C465,Productos!$A$5:$A$124,0)),"")</f>
        <v/>
      </c>
      <c r="N465" s="68">
        <f>IFERROR($L465*$K465,"")</f>
        <v/>
      </c>
      <c r="O465" s="68">
        <f>IFERROR($L465-$M465,"")</f>
        <v/>
      </c>
      <c r="P465" s="68">
        <f>IFERROR($O465-$N465,"")</f>
        <v/>
      </c>
      <c r="Q465" s="69">
        <f>IFERROR($P465/$L465,"")</f>
        <v/>
      </c>
    </row>
    <row r="466" ht="15" customHeight="1" s="47">
      <c r="A466" s="183" t="n">
        <v>46210</v>
      </c>
      <c r="B466" s="182" t="inlineStr">
        <is>
          <t>T01</t>
        </is>
      </c>
      <c r="C466" s="182" t="inlineStr">
        <is>
          <t>EL-044</t>
        </is>
      </c>
      <c r="D466" s="59">
        <f>IFERROR(INDEX(Productos!$B$5:$B$124,MATCH($C466,Productos!$A$5:$A$124,0)),"")</f>
        <v/>
      </c>
      <c r="E466" s="59">
        <f>IFERROR(INDEX(Productos!$D$5:$D$124,MATCH($C466,Productos!$A$5:$A$124,0)),"")</f>
        <v/>
      </c>
      <c r="F466" s="186" t="n">
        <v>1</v>
      </c>
      <c r="G466" s="68">
        <f>IFERROR(INDEX(Productos!$H$5:$H$124,MATCH($C466,Productos!$A$5:$A$124,0)),"")</f>
        <v/>
      </c>
      <c r="H466" s="185" t="n">
        <v>0.03</v>
      </c>
      <c r="I466" s="68">
        <f>IFERROR($G466*(1-$H466),"")</f>
        <v/>
      </c>
      <c r="J466" s="182" t="inlineStr">
        <is>
          <t>Crédito propio</t>
        </is>
      </c>
      <c r="K466" s="69">
        <f>IF($J466="",0,IF($J466="Contado",Inicio!$C$26,IF($J466="Tarjeta",Inicio!$C$27,IF($J466="Crédito propio",Inicio!$C$28,0))))</f>
        <v/>
      </c>
      <c r="L466" s="68">
        <f>IFERROR($F466*$I466,"")</f>
        <v/>
      </c>
      <c r="M466" s="68">
        <f>IFERROR($F466*INDEX(Productos!$G$5:$G$124,MATCH($C466,Productos!$A$5:$A$124,0)),"")</f>
        <v/>
      </c>
      <c r="N466" s="68">
        <f>IFERROR($L466*$K466,"")</f>
        <v/>
      </c>
      <c r="O466" s="68">
        <f>IFERROR($L466-$M466,"")</f>
        <v/>
      </c>
      <c r="P466" s="68">
        <f>IFERROR($O466-$N466,"")</f>
        <v/>
      </c>
      <c r="Q466" s="69">
        <f>IFERROR($P466/$L466,"")</f>
        <v/>
      </c>
    </row>
    <row r="467" ht="15" customHeight="1" s="47">
      <c r="A467" s="183" t="n">
        <v>46210</v>
      </c>
      <c r="B467" s="182" t="inlineStr">
        <is>
          <t>T01</t>
        </is>
      </c>
      <c r="C467" s="182" t="inlineStr">
        <is>
          <t>EL-046</t>
        </is>
      </c>
      <c r="D467" s="59">
        <f>IFERROR(INDEX(Productos!$B$5:$B$124,MATCH($C467,Productos!$A$5:$A$124,0)),"")</f>
        <v/>
      </c>
      <c r="E467" s="59">
        <f>IFERROR(INDEX(Productos!$D$5:$D$124,MATCH($C467,Productos!$A$5:$A$124,0)),"")</f>
        <v/>
      </c>
      <c r="F467" s="186" t="n">
        <v>1</v>
      </c>
      <c r="G467" s="68">
        <f>IFERROR(INDEX(Productos!$H$5:$H$124,MATCH($C467,Productos!$A$5:$A$124,0)),"")</f>
        <v/>
      </c>
      <c r="H467" s="185" t="n">
        <v>0</v>
      </c>
      <c r="I467" s="68">
        <f>IFERROR($G467*(1-$H467),"")</f>
        <v/>
      </c>
      <c r="J467" s="182" t="inlineStr">
        <is>
          <t>Contado</t>
        </is>
      </c>
      <c r="K467" s="69">
        <f>IF($J467="",0,IF($J467="Contado",Inicio!$C$26,IF($J467="Tarjeta",Inicio!$C$27,IF($J467="Crédito propio",Inicio!$C$28,0))))</f>
        <v/>
      </c>
      <c r="L467" s="68">
        <f>IFERROR($F467*$I467,"")</f>
        <v/>
      </c>
      <c r="M467" s="68">
        <f>IFERROR($F467*INDEX(Productos!$G$5:$G$124,MATCH($C467,Productos!$A$5:$A$124,0)),"")</f>
        <v/>
      </c>
      <c r="N467" s="68">
        <f>IFERROR($L467*$K467,"")</f>
        <v/>
      </c>
      <c r="O467" s="68">
        <f>IFERROR($L467-$M467,"")</f>
        <v/>
      </c>
      <c r="P467" s="68">
        <f>IFERROR($O467-$N467,"")</f>
        <v/>
      </c>
      <c r="Q467" s="69">
        <f>IFERROR($P467/$L467,"")</f>
        <v/>
      </c>
    </row>
    <row r="468" ht="15" customHeight="1" s="47">
      <c r="A468" s="183" t="n">
        <v>46210</v>
      </c>
      <c r="B468" s="182" t="inlineStr">
        <is>
          <t>T02</t>
        </is>
      </c>
      <c r="C468" s="182" t="inlineStr">
        <is>
          <t>EL-006</t>
        </is>
      </c>
      <c r="D468" s="59">
        <f>IFERROR(INDEX(Productos!$B$5:$B$124,MATCH($C468,Productos!$A$5:$A$124,0)),"")</f>
        <v/>
      </c>
      <c r="E468" s="59">
        <f>IFERROR(INDEX(Productos!$D$5:$D$124,MATCH($C468,Productos!$A$5:$A$124,0)),"")</f>
        <v/>
      </c>
      <c r="F468" s="186" t="n">
        <v>1</v>
      </c>
      <c r="G468" s="68">
        <f>IFERROR(INDEX(Productos!$H$5:$H$124,MATCH($C468,Productos!$A$5:$A$124,0)),"")</f>
        <v/>
      </c>
      <c r="H468" s="185" t="n">
        <v>0</v>
      </c>
      <c r="I468" s="68">
        <f>IFERROR($G468*(1-$H468),"")</f>
        <v/>
      </c>
      <c r="J468" s="182" t="inlineStr">
        <is>
          <t>Contado</t>
        </is>
      </c>
      <c r="K468" s="69">
        <f>IF($J468="",0,IF($J468="Contado",Inicio!$C$26,IF($J468="Tarjeta",Inicio!$C$27,IF($J468="Crédito propio",Inicio!$C$28,0))))</f>
        <v/>
      </c>
      <c r="L468" s="68">
        <f>IFERROR($F468*$I468,"")</f>
        <v/>
      </c>
      <c r="M468" s="68">
        <f>IFERROR($F468*INDEX(Productos!$G$5:$G$124,MATCH($C468,Productos!$A$5:$A$124,0)),"")</f>
        <v/>
      </c>
      <c r="N468" s="68">
        <f>IFERROR($L468*$K468,"")</f>
        <v/>
      </c>
      <c r="O468" s="68">
        <f>IFERROR($L468-$M468,"")</f>
        <v/>
      </c>
      <c r="P468" s="68">
        <f>IFERROR($O468-$N468,"")</f>
        <v/>
      </c>
      <c r="Q468" s="69">
        <f>IFERROR($P468/$L468,"")</f>
        <v/>
      </c>
    </row>
    <row r="469" ht="15" customHeight="1" s="47">
      <c r="A469" s="183" t="n">
        <v>46210</v>
      </c>
      <c r="B469" s="182" t="inlineStr">
        <is>
          <t>T02</t>
        </is>
      </c>
      <c r="C469" s="182" t="inlineStr">
        <is>
          <t>EL-007</t>
        </is>
      </c>
      <c r="D469" s="59">
        <f>IFERROR(INDEX(Productos!$B$5:$B$124,MATCH($C469,Productos!$A$5:$A$124,0)),"")</f>
        <v/>
      </c>
      <c r="E469" s="59">
        <f>IFERROR(INDEX(Productos!$D$5:$D$124,MATCH($C469,Productos!$A$5:$A$124,0)),"")</f>
        <v/>
      </c>
      <c r="F469" s="186" t="n">
        <v>1</v>
      </c>
      <c r="G469" s="68">
        <f>IFERROR(INDEX(Productos!$H$5:$H$124,MATCH($C469,Productos!$A$5:$A$124,0)),"")</f>
        <v/>
      </c>
      <c r="H469" s="185" t="n">
        <v>0.03</v>
      </c>
      <c r="I469" s="68">
        <f>IFERROR($G469*(1-$H469),"")</f>
        <v/>
      </c>
      <c r="J469" s="182" t="inlineStr">
        <is>
          <t>Tarjeta</t>
        </is>
      </c>
      <c r="K469" s="69">
        <f>IF($J469="",0,IF($J469="Contado",Inicio!$C$26,IF($J469="Tarjeta",Inicio!$C$27,IF($J469="Crédito propio",Inicio!$C$28,0))))</f>
        <v/>
      </c>
      <c r="L469" s="68">
        <f>IFERROR($F469*$I469,"")</f>
        <v/>
      </c>
      <c r="M469" s="68">
        <f>IFERROR($F469*INDEX(Productos!$G$5:$G$124,MATCH($C469,Productos!$A$5:$A$124,0)),"")</f>
        <v/>
      </c>
      <c r="N469" s="68">
        <f>IFERROR($L469*$K469,"")</f>
        <v/>
      </c>
      <c r="O469" s="68">
        <f>IFERROR($L469-$M469,"")</f>
        <v/>
      </c>
      <c r="P469" s="68">
        <f>IFERROR($O469-$N469,"")</f>
        <v/>
      </c>
      <c r="Q469" s="69">
        <f>IFERROR($P469/$L469,"")</f>
        <v/>
      </c>
    </row>
    <row r="470" ht="15" customHeight="1" s="47">
      <c r="A470" s="183" t="n">
        <v>46210</v>
      </c>
      <c r="B470" s="182" t="inlineStr">
        <is>
          <t>T02</t>
        </is>
      </c>
      <c r="C470" s="182" t="inlineStr">
        <is>
          <t>EL-008</t>
        </is>
      </c>
      <c r="D470" s="59">
        <f>IFERROR(INDEX(Productos!$B$5:$B$124,MATCH($C470,Productos!$A$5:$A$124,0)),"")</f>
        <v/>
      </c>
      <c r="E470" s="59">
        <f>IFERROR(INDEX(Productos!$D$5:$D$124,MATCH($C470,Productos!$A$5:$A$124,0)),"")</f>
        <v/>
      </c>
      <c r="F470" s="186" t="n">
        <v>1</v>
      </c>
      <c r="G470" s="68">
        <f>IFERROR(INDEX(Productos!$H$5:$H$124,MATCH($C470,Productos!$A$5:$A$124,0)),"")</f>
        <v/>
      </c>
      <c r="H470" s="185" t="n">
        <v>0.06796116504854366</v>
      </c>
      <c r="I470" s="68">
        <f>IFERROR($G470*(1-$H470),"")</f>
        <v/>
      </c>
      <c r="J470" s="182" t="inlineStr">
        <is>
          <t>Tarjeta</t>
        </is>
      </c>
      <c r="K470" s="69">
        <f>IF($J470="",0,IF($J470="Contado",Inicio!$C$26,IF($J470="Tarjeta",Inicio!$C$27,IF($J470="Crédito propio",Inicio!$C$28,0))))</f>
        <v/>
      </c>
      <c r="L470" s="68">
        <f>IFERROR($F470*$I470,"")</f>
        <v/>
      </c>
      <c r="M470" s="68">
        <f>IFERROR($F470*INDEX(Productos!$G$5:$G$124,MATCH($C470,Productos!$A$5:$A$124,0)),"")</f>
        <v/>
      </c>
      <c r="N470" s="68">
        <f>IFERROR($L470*$K470,"")</f>
        <v/>
      </c>
      <c r="O470" s="68">
        <f>IFERROR($L470-$M470,"")</f>
        <v/>
      </c>
      <c r="P470" s="68">
        <f>IFERROR($O470-$N470,"")</f>
        <v/>
      </c>
      <c r="Q470" s="69">
        <f>IFERROR($P470/$L470,"")</f>
        <v/>
      </c>
    </row>
    <row r="471" ht="15" customHeight="1" s="47">
      <c r="A471" s="183" t="n">
        <v>46210</v>
      </c>
      <c r="B471" s="182" t="inlineStr">
        <is>
          <t>T02</t>
        </is>
      </c>
      <c r="C471" s="182" t="inlineStr">
        <is>
          <t>EL-012</t>
        </is>
      </c>
      <c r="D471" s="59">
        <f>IFERROR(INDEX(Productos!$B$5:$B$124,MATCH($C471,Productos!$A$5:$A$124,0)),"")</f>
        <v/>
      </c>
      <c r="E471" s="59">
        <f>IFERROR(INDEX(Productos!$D$5:$D$124,MATCH($C471,Productos!$A$5:$A$124,0)),"")</f>
        <v/>
      </c>
      <c r="F471" s="186" t="n">
        <v>1</v>
      </c>
      <c r="G471" s="68">
        <f>IFERROR(INDEX(Productos!$H$5:$H$124,MATCH($C471,Productos!$A$5:$A$124,0)),"")</f>
        <v/>
      </c>
      <c r="H471" s="185" t="n">
        <v>0</v>
      </c>
      <c r="I471" s="68">
        <f>IFERROR($G471*(1-$H471),"")</f>
        <v/>
      </c>
      <c r="J471" s="182" t="inlineStr">
        <is>
          <t>Contado</t>
        </is>
      </c>
      <c r="K471" s="69">
        <f>IF($J471="",0,IF($J471="Contado",Inicio!$C$26,IF($J471="Tarjeta",Inicio!$C$27,IF($J471="Crédito propio",Inicio!$C$28,0))))</f>
        <v/>
      </c>
      <c r="L471" s="68">
        <f>IFERROR($F471*$I471,"")</f>
        <v/>
      </c>
      <c r="M471" s="68">
        <f>IFERROR($F471*INDEX(Productos!$G$5:$G$124,MATCH($C471,Productos!$A$5:$A$124,0)),"")</f>
        <v/>
      </c>
      <c r="N471" s="68">
        <f>IFERROR($L471*$K471,"")</f>
        <v/>
      </c>
      <c r="O471" s="68">
        <f>IFERROR($L471-$M471,"")</f>
        <v/>
      </c>
      <c r="P471" s="68">
        <f>IFERROR($O471-$N471,"")</f>
        <v/>
      </c>
      <c r="Q471" s="69">
        <f>IFERROR($P471/$L471,"")</f>
        <v/>
      </c>
    </row>
    <row r="472" ht="15" customHeight="1" s="47">
      <c r="A472" s="183" t="n">
        <v>46210</v>
      </c>
      <c r="B472" s="182" t="inlineStr">
        <is>
          <t>T02</t>
        </is>
      </c>
      <c r="C472" s="182" t="inlineStr">
        <is>
          <t>EL-013</t>
        </is>
      </c>
      <c r="D472" s="59">
        <f>IFERROR(INDEX(Productos!$B$5:$B$124,MATCH($C472,Productos!$A$5:$A$124,0)),"")</f>
        <v/>
      </c>
      <c r="E472" s="59">
        <f>IFERROR(INDEX(Productos!$D$5:$D$124,MATCH($C472,Productos!$A$5:$A$124,0)),"")</f>
        <v/>
      </c>
      <c r="F472" s="186" t="n">
        <v>2</v>
      </c>
      <c r="G472" s="68">
        <f>IFERROR(INDEX(Productos!$H$5:$H$124,MATCH($C472,Productos!$A$5:$A$124,0)),"")</f>
        <v/>
      </c>
      <c r="H472" s="185" t="n">
        <v>0.03</v>
      </c>
      <c r="I472" s="68">
        <f>IFERROR($G472*(1-$H472),"")</f>
        <v/>
      </c>
      <c r="J472" s="182" t="inlineStr">
        <is>
          <t>Contado</t>
        </is>
      </c>
      <c r="K472" s="69">
        <f>IF($J472="",0,IF($J472="Contado",Inicio!$C$26,IF($J472="Tarjeta",Inicio!$C$27,IF($J472="Crédito propio",Inicio!$C$28,0))))</f>
        <v/>
      </c>
      <c r="L472" s="68">
        <f>IFERROR($F472*$I472,"")</f>
        <v/>
      </c>
      <c r="M472" s="68">
        <f>IFERROR($F472*INDEX(Productos!$G$5:$G$124,MATCH($C472,Productos!$A$5:$A$124,0)),"")</f>
        <v/>
      </c>
      <c r="N472" s="68">
        <f>IFERROR($L472*$K472,"")</f>
        <v/>
      </c>
      <c r="O472" s="68">
        <f>IFERROR($L472-$M472,"")</f>
        <v/>
      </c>
      <c r="P472" s="68">
        <f>IFERROR($O472-$N472,"")</f>
        <v/>
      </c>
      <c r="Q472" s="69">
        <f>IFERROR($P472/$L472,"")</f>
        <v/>
      </c>
    </row>
    <row r="473" ht="15" customHeight="1" s="47">
      <c r="A473" s="183" t="n">
        <v>46210</v>
      </c>
      <c r="B473" s="182" t="inlineStr">
        <is>
          <t>T02</t>
        </is>
      </c>
      <c r="C473" s="182" t="inlineStr">
        <is>
          <t>EL-014</t>
        </is>
      </c>
      <c r="D473" s="59">
        <f>IFERROR(INDEX(Productos!$B$5:$B$124,MATCH($C473,Productos!$A$5:$A$124,0)),"")</f>
        <v/>
      </c>
      <c r="E473" s="59">
        <f>IFERROR(INDEX(Productos!$D$5:$D$124,MATCH($C473,Productos!$A$5:$A$124,0)),"")</f>
        <v/>
      </c>
      <c r="F473" s="186" t="n">
        <v>1</v>
      </c>
      <c r="G473" s="68">
        <f>IFERROR(INDEX(Productos!$H$5:$H$124,MATCH($C473,Productos!$A$5:$A$124,0)),"")</f>
        <v/>
      </c>
      <c r="H473" s="185" t="n">
        <v>0.05</v>
      </c>
      <c r="I473" s="68">
        <f>IFERROR($G473*(1-$H473),"")</f>
        <v/>
      </c>
      <c r="J473" s="182" t="inlineStr">
        <is>
          <t>Tarjeta</t>
        </is>
      </c>
      <c r="K473" s="69">
        <f>IF($J473="",0,IF($J473="Contado",Inicio!$C$26,IF($J473="Tarjeta",Inicio!$C$27,IF($J473="Crédito propio",Inicio!$C$28,0))))</f>
        <v/>
      </c>
      <c r="L473" s="68">
        <f>IFERROR($F473*$I473,"")</f>
        <v/>
      </c>
      <c r="M473" s="68">
        <f>IFERROR($F473*INDEX(Productos!$G$5:$G$124,MATCH($C473,Productos!$A$5:$A$124,0)),"")</f>
        <v/>
      </c>
      <c r="N473" s="68">
        <f>IFERROR($L473*$K473,"")</f>
        <v/>
      </c>
      <c r="O473" s="68">
        <f>IFERROR($L473-$M473,"")</f>
        <v/>
      </c>
      <c r="P473" s="68">
        <f>IFERROR($O473-$N473,"")</f>
        <v/>
      </c>
      <c r="Q473" s="69">
        <f>IFERROR($P473/$L473,"")</f>
        <v/>
      </c>
    </row>
    <row r="474" ht="15" customHeight="1" s="47">
      <c r="A474" s="183" t="n">
        <v>46210</v>
      </c>
      <c r="B474" s="182" t="inlineStr">
        <is>
          <t>T02</t>
        </is>
      </c>
      <c r="C474" s="182" t="inlineStr">
        <is>
          <t>EL-016</t>
        </is>
      </c>
      <c r="D474" s="59">
        <f>IFERROR(INDEX(Productos!$B$5:$B$124,MATCH($C474,Productos!$A$5:$A$124,0)),"")</f>
        <v/>
      </c>
      <c r="E474" s="59">
        <f>IFERROR(INDEX(Productos!$D$5:$D$124,MATCH($C474,Productos!$A$5:$A$124,0)),"")</f>
        <v/>
      </c>
      <c r="F474" s="186" t="n">
        <v>1</v>
      </c>
      <c r="G474" s="68">
        <f>IFERROR(INDEX(Productos!$H$5:$H$124,MATCH($C474,Productos!$A$5:$A$124,0)),"")</f>
        <v/>
      </c>
      <c r="H474" s="185" t="n">
        <v>0</v>
      </c>
      <c r="I474" s="68">
        <f>IFERROR($G474*(1-$H474),"")</f>
        <v/>
      </c>
      <c r="J474" s="182" t="inlineStr">
        <is>
          <t>Tarjeta</t>
        </is>
      </c>
      <c r="K474" s="69">
        <f>IF($J474="",0,IF($J474="Contado",Inicio!$C$26,IF($J474="Tarjeta",Inicio!$C$27,IF($J474="Crédito propio",Inicio!$C$28,0))))</f>
        <v/>
      </c>
      <c r="L474" s="68">
        <f>IFERROR($F474*$I474,"")</f>
        <v/>
      </c>
      <c r="M474" s="68">
        <f>IFERROR($F474*INDEX(Productos!$G$5:$G$124,MATCH($C474,Productos!$A$5:$A$124,0)),"")</f>
        <v/>
      </c>
      <c r="N474" s="68">
        <f>IFERROR($L474*$K474,"")</f>
        <v/>
      </c>
      <c r="O474" s="68">
        <f>IFERROR($L474-$M474,"")</f>
        <v/>
      </c>
      <c r="P474" s="68">
        <f>IFERROR($O474-$N474,"")</f>
        <v/>
      </c>
      <c r="Q474" s="69">
        <f>IFERROR($P474/$L474,"")</f>
        <v/>
      </c>
    </row>
    <row r="475" ht="15" customHeight="1" s="47">
      <c r="A475" s="183" t="n">
        <v>46210</v>
      </c>
      <c r="B475" s="182" t="inlineStr">
        <is>
          <t>T02</t>
        </is>
      </c>
      <c r="C475" s="182" t="inlineStr">
        <is>
          <t>EL-018</t>
        </is>
      </c>
      <c r="D475" s="59">
        <f>IFERROR(INDEX(Productos!$B$5:$B$124,MATCH($C475,Productos!$A$5:$A$124,0)),"")</f>
        <v/>
      </c>
      <c r="E475" s="59">
        <f>IFERROR(INDEX(Productos!$D$5:$D$124,MATCH($C475,Productos!$A$5:$A$124,0)),"")</f>
        <v/>
      </c>
      <c r="F475" s="186" t="n">
        <v>1</v>
      </c>
      <c r="G475" s="68">
        <f>IFERROR(INDEX(Productos!$H$5:$H$124,MATCH($C475,Productos!$A$5:$A$124,0)),"")</f>
        <v/>
      </c>
      <c r="H475" s="185" t="n">
        <v>0.07377049180327866</v>
      </c>
      <c r="I475" s="68">
        <f>IFERROR($G475*(1-$H475),"")</f>
        <v/>
      </c>
      <c r="J475" s="182" t="inlineStr">
        <is>
          <t>Tarjeta</t>
        </is>
      </c>
      <c r="K475" s="69">
        <f>IF($J475="",0,IF($J475="Contado",Inicio!$C$26,IF($J475="Tarjeta",Inicio!$C$27,IF($J475="Crédito propio",Inicio!$C$28,0))))</f>
        <v/>
      </c>
      <c r="L475" s="68">
        <f>IFERROR($F475*$I475,"")</f>
        <v/>
      </c>
      <c r="M475" s="68">
        <f>IFERROR($F475*INDEX(Productos!$G$5:$G$124,MATCH($C475,Productos!$A$5:$A$124,0)),"")</f>
        <v/>
      </c>
      <c r="N475" s="68">
        <f>IFERROR($L475*$K475,"")</f>
        <v/>
      </c>
      <c r="O475" s="68">
        <f>IFERROR($L475-$M475,"")</f>
        <v/>
      </c>
      <c r="P475" s="68">
        <f>IFERROR($O475-$N475,"")</f>
        <v/>
      </c>
      <c r="Q475" s="69">
        <f>IFERROR($P475/$L475,"")</f>
        <v/>
      </c>
    </row>
    <row r="476" ht="15" customHeight="1" s="47">
      <c r="A476" s="183" t="n">
        <v>46210</v>
      </c>
      <c r="B476" s="182" t="inlineStr">
        <is>
          <t>T02</t>
        </is>
      </c>
      <c r="C476" s="182" t="inlineStr">
        <is>
          <t>EL-020</t>
        </is>
      </c>
      <c r="D476" s="59">
        <f>IFERROR(INDEX(Productos!$B$5:$B$124,MATCH($C476,Productos!$A$5:$A$124,0)),"")</f>
        <v/>
      </c>
      <c r="E476" s="59">
        <f>IFERROR(INDEX(Productos!$D$5:$D$124,MATCH($C476,Productos!$A$5:$A$124,0)),"")</f>
        <v/>
      </c>
      <c r="F476" s="186" t="n">
        <v>1</v>
      </c>
      <c r="G476" s="68">
        <f>IFERROR(INDEX(Productos!$H$5:$H$124,MATCH($C476,Productos!$A$5:$A$124,0)),"")</f>
        <v/>
      </c>
      <c r="H476" s="185" t="n">
        <v>0.06896551724137934</v>
      </c>
      <c r="I476" s="68">
        <f>IFERROR($G476*(1-$H476),"")</f>
        <v/>
      </c>
      <c r="J476" s="182" t="inlineStr">
        <is>
          <t>Tarjeta</t>
        </is>
      </c>
      <c r="K476" s="69">
        <f>IF($J476="",0,IF($J476="Contado",Inicio!$C$26,IF($J476="Tarjeta",Inicio!$C$27,IF($J476="Crédito propio",Inicio!$C$28,0))))</f>
        <v/>
      </c>
      <c r="L476" s="68">
        <f>IFERROR($F476*$I476,"")</f>
        <v/>
      </c>
      <c r="M476" s="68">
        <f>IFERROR($F476*INDEX(Productos!$G$5:$G$124,MATCH($C476,Productos!$A$5:$A$124,0)),"")</f>
        <v/>
      </c>
      <c r="N476" s="68">
        <f>IFERROR($L476*$K476,"")</f>
        <v/>
      </c>
      <c r="O476" s="68">
        <f>IFERROR($L476-$M476,"")</f>
        <v/>
      </c>
      <c r="P476" s="68">
        <f>IFERROR($O476-$N476,"")</f>
        <v/>
      </c>
      <c r="Q476" s="69">
        <f>IFERROR($P476/$L476,"")</f>
        <v/>
      </c>
    </row>
    <row r="477" ht="15" customHeight="1" s="47">
      <c r="A477" s="183" t="n">
        <v>46210</v>
      </c>
      <c r="B477" s="182" t="inlineStr">
        <is>
          <t>T02</t>
        </is>
      </c>
      <c r="C477" s="182" t="inlineStr">
        <is>
          <t>EL-025</t>
        </is>
      </c>
      <c r="D477" s="59">
        <f>IFERROR(INDEX(Productos!$B$5:$B$124,MATCH($C477,Productos!$A$5:$A$124,0)),"")</f>
        <v/>
      </c>
      <c r="E477" s="59">
        <f>IFERROR(INDEX(Productos!$D$5:$D$124,MATCH($C477,Productos!$A$5:$A$124,0)),"")</f>
        <v/>
      </c>
      <c r="F477" s="186" t="n">
        <v>2</v>
      </c>
      <c r="G477" s="68">
        <f>IFERROR(INDEX(Productos!$H$5:$H$124,MATCH($C477,Productos!$A$5:$A$124,0)),"")</f>
        <v/>
      </c>
      <c r="H477" s="185" t="n">
        <v>0</v>
      </c>
      <c r="I477" s="68">
        <f>IFERROR($G477*(1-$H477),"")</f>
        <v/>
      </c>
      <c r="J477" s="182" t="inlineStr">
        <is>
          <t>Crédito propio</t>
        </is>
      </c>
      <c r="K477" s="69">
        <f>IF($J477="",0,IF($J477="Contado",Inicio!$C$26,IF($J477="Tarjeta",Inicio!$C$27,IF($J477="Crédito propio",Inicio!$C$28,0))))</f>
        <v/>
      </c>
      <c r="L477" s="68">
        <f>IFERROR($F477*$I477,"")</f>
        <v/>
      </c>
      <c r="M477" s="68">
        <f>IFERROR($F477*INDEX(Productos!$G$5:$G$124,MATCH($C477,Productos!$A$5:$A$124,0)),"")</f>
        <v/>
      </c>
      <c r="N477" s="68">
        <f>IFERROR($L477*$K477,"")</f>
        <v/>
      </c>
      <c r="O477" s="68">
        <f>IFERROR($L477-$M477,"")</f>
        <v/>
      </c>
      <c r="P477" s="68">
        <f>IFERROR($O477-$N477,"")</f>
        <v/>
      </c>
      <c r="Q477" s="69">
        <f>IFERROR($P477/$L477,"")</f>
        <v/>
      </c>
    </row>
    <row r="478" ht="15" customHeight="1" s="47">
      <c r="A478" s="183" t="n">
        <v>46210</v>
      </c>
      <c r="B478" s="182" t="inlineStr">
        <is>
          <t>T02</t>
        </is>
      </c>
      <c r="C478" s="182" t="inlineStr">
        <is>
          <t>EL-026</t>
        </is>
      </c>
      <c r="D478" s="59">
        <f>IFERROR(INDEX(Productos!$B$5:$B$124,MATCH($C478,Productos!$A$5:$A$124,0)),"")</f>
        <v/>
      </c>
      <c r="E478" s="59">
        <f>IFERROR(INDEX(Productos!$D$5:$D$124,MATCH($C478,Productos!$A$5:$A$124,0)),"")</f>
        <v/>
      </c>
      <c r="F478" s="186" t="n">
        <v>1</v>
      </c>
      <c r="G478" s="68">
        <f>IFERROR(INDEX(Productos!$H$5:$H$124,MATCH($C478,Productos!$A$5:$A$124,0)),"")</f>
        <v/>
      </c>
      <c r="H478" s="185" t="n">
        <v>0</v>
      </c>
      <c r="I478" s="68">
        <f>IFERROR($G478*(1-$H478),"")</f>
        <v/>
      </c>
      <c r="J478" s="182" t="inlineStr">
        <is>
          <t>Contado</t>
        </is>
      </c>
      <c r="K478" s="69">
        <f>IF($J478="",0,IF($J478="Contado",Inicio!$C$26,IF($J478="Tarjeta",Inicio!$C$27,IF($J478="Crédito propio",Inicio!$C$28,0))))</f>
        <v/>
      </c>
      <c r="L478" s="68">
        <f>IFERROR($F478*$I478,"")</f>
        <v/>
      </c>
      <c r="M478" s="68">
        <f>IFERROR($F478*INDEX(Productos!$G$5:$G$124,MATCH($C478,Productos!$A$5:$A$124,0)),"")</f>
        <v/>
      </c>
      <c r="N478" s="68">
        <f>IFERROR($L478*$K478,"")</f>
        <v/>
      </c>
      <c r="O478" s="68">
        <f>IFERROR($L478-$M478,"")</f>
        <v/>
      </c>
      <c r="P478" s="68">
        <f>IFERROR($O478-$N478,"")</f>
        <v/>
      </c>
      <c r="Q478" s="69">
        <f>IFERROR($P478/$L478,"")</f>
        <v/>
      </c>
    </row>
    <row r="479" ht="15" customHeight="1" s="47">
      <c r="A479" s="183" t="n">
        <v>46210</v>
      </c>
      <c r="B479" s="182" t="inlineStr">
        <is>
          <t>T02</t>
        </is>
      </c>
      <c r="C479" s="182" t="inlineStr">
        <is>
          <t>EL-030</t>
        </is>
      </c>
      <c r="D479" s="59">
        <f>IFERROR(INDEX(Productos!$B$5:$B$124,MATCH($C479,Productos!$A$5:$A$124,0)),"")</f>
        <v/>
      </c>
      <c r="E479" s="59">
        <f>IFERROR(INDEX(Productos!$D$5:$D$124,MATCH($C479,Productos!$A$5:$A$124,0)),"")</f>
        <v/>
      </c>
      <c r="F479" s="186" t="n">
        <v>2</v>
      </c>
      <c r="G479" s="68">
        <f>IFERROR(INDEX(Productos!$H$5:$H$124,MATCH($C479,Productos!$A$5:$A$124,0)),"")</f>
        <v/>
      </c>
      <c r="H479" s="185" t="n">
        <v>0.03</v>
      </c>
      <c r="I479" s="68">
        <f>IFERROR($G479*(1-$H479),"")</f>
        <v/>
      </c>
      <c r="J479" s="182" t="inlineStr">
        <is>
          <t>Tarjeta</t>
        </is>
      </c>
      <c r="K479" s="69">
        <f>IF($J479="",0,IF($J479="Contado",Inicio!$C$26,IF($J479="Tarjeta",Inicio!$C$27,IF($J479="Crédito propio",Inicio!$C$28,0))))</f>
        <v/>
      </c>
      <c r="L479" s="68">
        <f>IFERROR($F479*$I479,"")</f>
        <v/>
      </c>
      <c r="M479" s="68">
        <f>IFERROR($F479*INDEX(Productos!$G$5:$G$124,MATCH($C479,Productos!$A$5:$A$124,0)),"")</f>
        <v/>
      </c>
      <c r="N479" s="68">
        <f>IFERROR($L479*$K479,"")</f>
        <v/>
      </c>
      <c r="O479" s="68">
        <f>IFERROR($L479-$M479,"")</f>
        <v/>
      </c>
      <c r="P479" s="68">
        <f>IFERROR($O479-$N479,"")</f>
        <v/>
      </c>
      <c r="Q479" s="69">
        <f>IFERROR($P479/$L479,"")</f>
        <v/>
      </c>
    </row>
    <row r="480" ht="15" customHeight="1" s="47">
      <c r="A480" s="183" t="n">
        <v>46210</v>
      </c>
      <c r="B480" s="182" t="inlineStr">
        <is>
          <t>T02</t>
        </is>
      </c>
      <c r="C480" s="182" t="inlineStr">
        <is>
          <t>EL-036</t>
        </is>
      </c>
      <c r="D480" s="59">
        <f>IFERROR(INDEX(Productos!$B$5:$B$124,MATCH($C480,Productos!$A$5:$A$124,0)),"")</f>
        <v/>
      </c>
      <c r="E480" s="59">
        <f>IFERROR(INDEX(Productos!$D$5:$D$124,MATCH($C480,Productos!$A$5:$A$124,0)),"")</f>
        <v/>
      </c>
      <c r="F480" s="186" t="n">
        <v>1</v>
      </c>
      <c r="G480" s="68">
        <f>IFERROR(INDEX(Productos!$H$5:$H$124,MATCH($C480,Productos!$A$5:$A$124,0)),"")</f>
        <v/>
      </c>
      <c r="H480" s="185" t="n">
        <v>0</v>
      </c>
      <c r="I480" s="68">
        <f>IFERROR($G480*(1-$H480),"")</f>
        <v/>
      </c>
      <c r="J480" s="182" t="inlineStr">
        <is>
          <t>Tarjeta</t>
        </is>
      </c>
      <c r="K480" s="69">
        <f>IF($J480="",0,IF($J480="Contado",Inicio!$C$26,IF($J480="Tarjeta",Inicio!$C$27,IF($J480="Crédito propio",Inicio!$C$28,0))))</f>
        <v/>
      </c>
      <c r="L480" s="68">
        <f>IFERROR($F480*$I480,"")</f>
        <v/>
      </c>
      <c r="M480" s="68">
        <f>IFERROR($F480*INDEX(Productos!$G$5:$G$124,MATCH($C480,Productos!$A$5:$A$124,0)),"")</f>
        <v/>
      </c>
      <c r="N480" s="68">
        <f>IFERROR($L480*$K480,"")</f>
        <v/>
      </c>
      <c r="O480" s="68">
        <f>IFERROR($L480-$M480,"")</f>
        <v/>
      </c>
      <c r="P480" s="68">
        <f>IFERROR($O480-$N480,"")</f>
        <v/>
      </c>
      <c r="Q480" s="69">
        <f>IFERROR($P480/$L480,"")</f>
        <v/>
      </c>
    </row>
    <row r="481" ht="15" customHeight="1" s="47">
      <c r="A481" s="183" t="n">
        <v>46210</v>
      </c>
      <c r="B481" s="182" t="inlineStr">
        <is>
          <t>T02</t>
        </is>
      </c>
      <c r="C481" s="182" t="inlineStr">
        <is>
          <t>EL-046</t>
        </is>
      </c>
      <c r="D481" s="59">
        <f>IFERROR(INDEX(Productos!$B$5:$B$124,MATCH($C481,Productos!$A$5:$A$124,0)),"")</f>
        <v/>
      </c>
      <c r="E481" s="59">
        <f>IFERROR(INDEX(Productos!$D$5:$D$124,MATCH($C481,Productos!$A$5:$A$124,0)),"")</f>
        <v/>
      </c>
      <c r="F481" s="186" t="n">
        <v>2</v>
      </c>
      <c r="G481" s="68">
        <f>IFERROR(INDEX(Productos!$H$5:$H$124,MATCH($C481,Productos!$A$5:$A$124,0)),"")</f>
        <v/>
      </c>
      <c r="H481" s="185" t="n">
        <v>0</v>
      </c>
      <c r="I481" s="68">
        <f>IFERROR($G481*(1-$H481),"")</f>
        <v/>
      </c>
      <c r="J481" s="182" t="inlineStr">
        <is>
          <t>Contado</t>
        </is>
      </c>
      <c r="K481" s="69">
        <f>IF($J481="",0,IF($J481="Contado",Inicio!$C$26,IF($J481="Tarjeta",Inicio!$C$27,IF($J481="Crédito propio",Inicio!$C$28,0))))</f>
        <v/>
      </c>
      <c r="L481" s="68">
        <f>IFERROR($F481*$I481,"")</f>
        <v/>
      </c>
      <c r="M481" s="68">
        <f>IFERROR($F481*INDEX(Productos!$G$5:$G$124,MATCH($C481,Productos!$A$5:$A$124,0)),"")</f>
        <v/>
      </c>
      <c r="N481" s="68">
        <f>IFERROR($L481*$K481,"")</f>
        <v/>
      </c>
      <c r="O481" s="68">
        <f>IFERROR($L481-$M481,"")</f>
        <v/>
      </c>
      <c r="P481" s="68">
        <f>IFERROR($O481-$N481,"")</f>
        <v/>
      </c>
      <c r="Q481" s="69">
        <f>IFERROR($P481/$L481,"")</f>
        <v/>
      </c>
    </row>
    <row r="482" ht="15" customHeight="1" s="47">
      <c r="A482" s="183" t="n">
        <v>46210</v>
      </c>
      <c r="B482" s="182" t="inlineStr">
        <is>
          <t>T02</t>
        </is>
      </c>
      <c r="C482" s="182" t="inlineStr">
        <is>
          <t>EL-047</t>
        </is>
      </c>
      <c r="D482" s="59">
        <f>IFERROR(INDEX(Productos!$B$5:$B$124,MATCH($C482,Productos!$A$5:$A$124,0)),"")</f>
        <v/>
      </c>
      <c r="E482" s="59">
        <f>IFERROR(INDEX(Productos!$D$5:$D$124,MATCH($C482,Productos!$A$5:$A$124,0)),"")</f>
        <v/>
      </c>
      <c r="F482" s="186" t="n">
        <v>1</v>
      </c>
      <c r="G482" s="68">
        <f>IFERROR(INDEX(Productos!$H$5:$H$124,MATCH($C482,Productos!$A$5:$A$124,0)),"")</f>
        <v/>
      </c>
      <c r="H482" s="185" t="n">
        <v>0</v>
      </c>
      <c r="I482" s="68">
        <f>IFERROR($G482*(1-$H482),"")</f>
        <v/>
      </c>
      <c r="J482" s="182" t="inlineStr">
        <is>
          <t>Contado</t>
        </is>
      </c>
      <c r="K482" s="69">
        <f>IF($J482="",0,IF($J482="Contado",Inicio!$C$26,IF($J482="Tarjeta",Inicio!$C$27,IF($J482="Crédito propio",Inicio!$C$28,0))))</f>
        <v/>
      </c>
      <c r="L482" s="68">
        <f>IFERROR($F482*$I482,"")</f>
        <v/>
      </c>
      <c r="M482" s="68">
        <f>IFERROR($F482*INDEX(Productos!$G$5:$G$124,MATCH($C482,Productos!$A$5:$A$124,0)),"")</f>
        <v/>
      </c>
      <c r="N482" s="68">
        <f>IFERROR($L482*$K482,"")</f>
        <v/>
      </c>
      <c r="O482" s="68">
        <f>IFERROR($L482-$M482,"")</f>
        <v/>
      </c>
      <c r="P482" s="68">
        <f>IFERROR($O482-$N482,"")</f>
        <v/>
      </c>
      <c r="Q482" s="69">
        <f>IFERROR($P482/$L482,"")</f>
        <v/>
      </c>
    </row>
    <row r="483" ht="15" customHeight="1" s="47">
      <c r="A483" s="183" t="n">
        <v>46210</v>
      </c>
      <c r="B483" s="182" t="inlineStr">
        <is>
          <t>T02</t>
        </is>
      </c>
      <c r="C483" s="182" t="inlineStr">
        <is>
          <t>EL-049</t>
        </is>
      </c>
      <c r="D483" s="59">
        <f>IFERROR(INDEX(Productos!$B$5:$B$124,MATCH($C483,Productos!$A$5:$A$124,0)),"")</f>
        <v/>
      </c>
      <c r="E483" s="59">
        <f>IFERROR(INDEX(Productos!$D$5:$D$124,MATCH($C483,Productos!$A$5:$A$124,0)),"")</f>
        <v/>
      </c>
      <c r="F483" s="186" t="n">
        <v>2</v>
      </c>
      <c r="G483" s="68">
        <f>IFERROR(INDEX(Productos!$H$5:$H$124,MATCH($C483,Productos!$A$5:$A$124,0)),"")</f>
        <v/>
      </c>
      <c r="H483" s="185" t="n">
        <v>0</v>
      </c>
      <c r="I483" s="68">
        <f>IFERROR($G483*(1-$H483),"")</f>
        <v/>
      </c>
      <c r="J483" s="182" t="inlineStr">
        <is>
          <t>Contado</t>
        </is>
      </c>
      <c r="K483" s="69">
        <f>IF($J483="",0,IF($J483="Contado",Inicio!$C$26,IF($J483="Tarjeta",Inicio!$C$27,IF($J483="Crédito propio",Inicio!$C$28,0))))</f>
        <v/>
      </c>
      <c r="L483" s="68">
        <f>IFERROR($F483*$I483,"")</f>
        <v/>
      </c>
      <c r="M483" s="68">
        <f>IFERROR($F483*INDEX(Productos!$G$5:$G$124,MATCH($C483,Productos!$A$5:$A$124,0)),"")</f>
        <v/>
      </c>
      <c r="N483" s="68">
        <f>IFERROR($L483*$K483,"")</f>
        <v/>
      </c>
      <c r="O483" s="68">
        <f>IFERROR($L483-$M483,"")</f>
        <v/>
      </c>
      <c r="P483" s="68">
        <f>IFERROR($O483-$N483,"")</f>
        <v/>
      </c>
      <c r="Q483" s="69">
        <f>IFERROR($P483/$L483,"")</f>
        <v/>
      </c>
    </row>
    <row r="484" ht="15" customHeight="1" s="47">
      <c r="A484" s="183" t="n">
        <v>46210</v>
      </c>
      <c r="B484" s="182" t="inlineStr">
        <is>
          <t>T03</t>
        </is>
      </c>
      <c r="C484" s="182" t="inlineStr">
        <is>
          <t>EL-018</t>
        </is>
      </c>
      <c r="D484" s="59">
        <f>IFERROR(INDEX(Productos!$B$5:$B$124,MATCH($C484,Productos!$A$5:$A$124,0)),"")</f>
        <v/>
      </c>
      <c r="E484" s="59">
        <f>IFERROR(INDEX(Productos!$D$5:$D$124,MATCH($C484,Productos!$A$5:$A$124,0)),"")</f>
        <v/>
      </c>
      <c r="F484" s="186" t="n">
        <v>1</v>
      </c>
      <c r="G484" s="68">
        <f>IFERROR(INDEX(Productos!$H$5:$H$124,MATCH($C484,Productos!$A$5:$A$124,0)),"")</f>
        <v/>
      </c>
      <c r="H484" s="185" t="n">
        <v>0.05</v>
      </c>
      <c r="I484" s="68">
        <f>IFERROR($G484*(1-$H484),"")</f>
        <v/>
      </c>
      <c r="J484" s="182" t="inlineStr">
        <is>
          <t>Contado</t>
        </is>
      </c>
      <c r="K484" s="69">
        <f>IF($J484="",0,IF($J484="Contado",Inicio!$C$26,IF($J484="Tarjeta",Inicio!$C$27,IF($J484="Crédito propio",Inicio!$C$28,0))))</f>
        <v/>
      </c>
      <c r="L484" s="68">
        <f>IFERROR($F484*$I484,"")</f>
        <v/>
      </c>
      <c r="M484" s="68">
        <f>IFERROR($F484*INDEX(Productos!$G$5:$G$124,MATCH($C484,Productos!$A$5:$A$124,0)),"")</f>
        <v/>
      </c>
      <c r="N484" s="68">
        <f>IFERROR($L484*$K484,"")</f>
        <v/>
      </c>
      <c r="O484" s="68">
        <f>IFERROR($L484-$M484,"")</f>
        <v/>
      </c>
      <c r="P484" s="68">
        <f>IFERROR($O484-$N484,"")</f>
        <v/>
      </c>
      <c r="Q484" s="69">
        <f>IFERROR($P484/$L484,"")</f>
        <v/>
      </c>
    </row>
    <row r="485" ht="15" customHeight="1" s="47">
      <c r="A485" s="183" t="n">
        <v>46210</v>
      </c>
      <c r="B485" s="182" t="inlineStr">
        <is>
          <t>T03</t>
        </is>
      </c>
      <c r="C485" s="182" t="inlineStr">
        <is>
          <t>EL-020</t>
        </is>
      </c>
      <c r="D485" s="59">
        <f>IFERROR(INDEX(Productos!$B$5:$B$124,MATCH($C485,Productos!$A$5:$A$124,0)),"")</f>
        <v/>
      </c>
      <c r="E485" s="59">
        <f>IFERROR(INDEX(Productos!$D$5:$D$124,MATCH($C485,Productos!$A$5:$A$124,0)),"")</f>
        <v/>
      </c>
      <c r="F485" s="186" t="n">
        <v>1</v>
      </c>
      <c r="G485" s="68">
        <f>IFERROR(INDEX(Productos!$H$5:$H$124,MATCH($C485,Productos!$A$5:$A$124,0)),"")</f>
        <v/>
      </c>
      <c r="H485" s="185" t="n">
        <v>0.06896551724137934</v>
      </c>
      <c r="I485" s="68">
        <f>IFERROR($G485*(1-$H485),"")</f>
        <v/>
      </c>
      <c r="J485" s="182" t="inlineStr">
        <is>
          <t>Tarjeta</t>
        </is>
      </c>
      <c r="K485" s="69">
        <f>IF($J485="",0,IF($J485="Contado",Inicio!$C$26,IF($J485="Tarjeta",Inicio!$C$27,IF($J485="Crédito propio",Inicio!$C$28,0))))</f>
        <v/>
      </c>
      <c r="L485" s="68">
        <f>IFERROR($F485*$I485,"")</f>
        <v/>
      </c>
      <c r="M485" s="68">
        <f>IFERROR($F485*INDEX(Productos!$G$5:$G$124,MATCH($C485,Productos!$A$5:$A$124,0)),"")</f>
        <v/>
      </c>
      <c r="N485" s="68">
        <f>IFERROR($L485*$K485,"")</f>
        <v/>
      </c>
      <c r="O485" s="68">
        <f>IFERROR($L485-$M485,"")</f>
        <v/>
      </c>
      <c r="P485" s="68">
        <f>IFERROR($O485-$N485,"")</f>
        <v/>
      </c>
      <c r="Q485" s="69">
        <f>IFERROR($P485/$L485,"")</f>
        <v/>
      </c>
    </row>
    <row r="486" ht="15" customHeight="1" s="47">
      <c r="A486" s="183" t="n">
        <v>46210</v>
      </c>
      <c r="B486" s="182" t="inlineStr">
        <is>
          <t>T03</t>
        </is>
      </c>
      <c r="C486" s="182" t="inlineStr">
        <is>
          <t>EL-024</t>
        </is>
      </c>
      <c r="D486" s="59">
        <f>IFERROR(INDEX(Productos!$B$5:$B$124,MATCH($C486,Productos!$A$5:$A$124,0)),"")</f>
        <v/>
      </c>
      <c r="E486" s="59">
        <f>IFERROR(INDEX(Productos!$D$5:$D$124,MATCH($C486,Productos!$A$5:$A$124,0)),"")</f>
        <v/>
      </c>
      <c r="F486" s="186" t="n">
        <v>1</v>
      </c>
      <c r="G486" s="68">
        <f>IFERROR(INDEX(Productos!$H$5:$H$124,MATCH($C486,Productos!$A$5:$A$124,0)),"")</f>
        <v/>
      </c>
      <c r="H486" s="185" t="n">
        <v>0.07070707070707072</v>
      </c>
      <c r="I486" s="68">
        <f>IFERROR($G486*(1-$H486),"")</f>
        <v/>
      </c>
      <c r="J486" s="182" t="inlineStr">
        <is>
          <t>Contado</t>
        </is>
      </c>
      <c r="K486" s="69">
        <f>IF($J486="",0,IF($J486="Contado",Inicio!$C$26,IF($J486="Tarjeta",Inicio!$C$27,IF($J486="Crédito propio",Inicio!$C$28,0))))</f>
        <v/>
      </c>
      <c r="L486" s="68">
        <f>IFERROR($F486*$I486,"")</f>
        <v/>
      </c>
      <c r="M486" s="68">
        <f>IFERROR($F486*INDEX(Productos!$G$5:$G$124,MATCH($C486,Productos!$A$5:$A$124,0)),"")</f>
        <v/>
      </c>
      <c r="N486" s="68">
        <f>IFERROR($L486*$K486,"")</f>
        <v/>
      </c>
      <c r="O486" s="68">
        <f>IFERROR($L486-$M486,"")</f>
        <v/>
      </c>
      <c r="P486" s="68">
        <f>IFERROR($O486-$N486,"")</f>
        <v/>
      </c>
      <c r="Q486" s="69">
        <f>IFERROR($P486/$L486,"")</f>
        <v/>
      </c>
    </row>
    <row r="487" ht="15" customHeight="1" s="47">
      <c r="A487" s="183" t="n">
        <v>46210</v>
      </c>
      <c r="B487" s="182" t="inlineStr">
        <is>
          <t>T03</t>
        </is>
      </c>
      <c r="C487" s="182" t="inlineStr">
        <is>
          <t>EL-030</t>
        </is>
      </c>
      <c r="D487" s="59">
        <f>IFERROR(INDEX(Productos!$B$5:$B$124,MATCH($C487,Productos!$A$5:$A$124,0)),"")</f>
        <v/>
      </c>
      <c r="E487" s="59">
        <f>IFERROR(INDEX(Productos!$D$5:$D$124,MATCH($C487,Productos!$A$5:$A$124,0)),"")</f>
        <v/>
      </c>
      <c r="F487" s="186" t="n">
        <v>1</v>
      </c>
      <c r="G487" s="68">
        <f>IFERROR(INDEX(Productos!$H$5:$H$124,MATCH($C487,Productos!$A$5:$A$124,0)),"")</f>
        <v/>
      </c>
      <c r="H487" s="185" t="n">
        <v>0.07526881720430112</v>
      </c>
      <c r="I487" s="68">
        <f>IFERROR($G487*(1-$H487),"")</f>
        <v/>
      </c>
      <c r="J487" s="182" t="inlineStr">
        <is>
          <t>Tarjeta</t>
        </is>
      </c>
      <c r="K487" s="69">
        <f>IF($J487="",0,IF($J487="Contado",Inicio!$C$26,IF($J487="Tarjeta",Inicio!$C$27,IF($J487="Crédito propio",Inicio!$C$28,0))))</f>
        <v/>
      </c>
      <c r="L487" s="68">
        <f>IFERROR($F487*$I487,"")</f>
        <v/>
      </c>
      <c r="M487" s="68">
        <f>IFERROR($F487*INDEX(Productos!$G$5:$G$124,MATCH($C487,Productos!$A$5:$A$124,0)),"")</f>
        <v/>
      </c>
      <c r="N487" s="68">
        <f>IFERROR($L487*$K487,"")</f>
        <v/>
      </c>
      <c r="O487" s="68">
        <f>IFERROR($L487-$M487,"")</f>
        <v/>
      </c>
      <c r="P487" s="68">
        <f>IFERROR($O487-$N487,"")</f>
        <v/>
      </c>
      <c r="Q487" s="69">
        <f>IFERROR($P487/$L487,"")</f>
        <v/>
      </c>
    </row>
    <row r="488" ht="15" customHeight="1" s="47">
      <c r="A488" s="183" t="n">
        <v>46210</v>
      </c>
      <c r="B488" s="182" t="inlineStr">
        <is>
          <t>T03</t>
        </is>
      </c>
      <c r="C488" s="182" t="inlineStr">
        <is>
          <t>EL-036</t>
        </is>
      </c>
      <c r="D488" s="59">
        <f>IFERROR(INDEX(Productos!$B$5:$B$124,MATCH($C488,Productos!$A$5:$A$124,0)),"")</f>
        <v/>
      </c>
      <c r="E488" s="59">
        <f>IFERROR(INDEX(Productos!$D$5:$D$124,MATCH($C488,Productos!$A$5:$A$124,0)),"")</f>
        <v/>
      </c>
      <c r="F488" s="186" t="n">
        <v>1</v>
      </c>
      <c r="G488" s="68">
        <f>IFERROR(INDEX(Productos!$H$5:$H$124,MATCH($C488,Productos!$A$5:$A$124,0)),"")</f>
        <v/>
      </c>
      <c r="H488" s="185" t="n">
        <v>0</v>
      </c>
      <c r="I488" s="68">
        <f>IFERROR($G488*(1-$H488),"")</f>
        <v/>
      </c>
      <c r="J488" s="182" t="inlineStr">
        <is>
          <t>Crédito propio</t>
        </is>
      </c>
      <c r="K488" s="69">
        <f>IF($J488="",0,IF($J488="Contado",Inicio!$C$26,IF($J488="Tarjeta",Inicio!$C$27,IF($J488="Crédito propio",Inicio!$C$28,0))))</f>
        <v/>
      </c>
      <c r="L488" s="68">
        <f>IFERROR($F488*$I488,"")</f>
        <v/>
      </c>
      <c r="M488" s="68">
        <f>IFERROR($F488*INDEX(Productos!$G$5:$G$124,MATCH($C488,Productos!$A$5:$A$124,0)),"")</f>
        <v/>
      </c>
      <c r="N488" s="68">
        <f>IFERROR($L488*$K488,"")</f>
        <v/>
      </c>
      <c r="O488" s="68">
        <f>IFERROR($L488-$M488,"")</f>
        <v/>
      </c>
      <c r="P488" s="68">
        <f>IFERROR($O488-$N488,"")</f>
        <v/>
      </c>
      <c r="Q488" s="69">
        <f>IFERROR($P488/$L488,"")</f>
        <v/>
      </c>
    </row>
    <row r="489" ht="15" customHeight="1" s="47">
      <c r="A489" s="183" t="n">
        <v>46210</v>
      </c>
      <c r="B489" s="182" t="inlineStr">
        <is>
          <t>T03</t>
        </is>
      </c>
      <c r="C489" s="182" t="inlineStr">
        <is>
          <t>EL-038</t>
        </is>
      </c>
      <c r="D489" s="59">
        <f>IFERROR(INDEX(Productos!$B$5:$B$124,MATCH($C489,Productos!$A$5:$A$124,0)),"")</f>
        <v/>
      </c>
      <c r="E489" s="59">
        <f>IFERROR(INDEX(Productos!$D$5:$D$124,MATCH($C489,Productos!$A$5:$A$124,0)),"")</f>
        <v/>
      </c>
      <c r="F489" s="186" t="n">
        <v>1</v>
      </c>
      <c r="G489" s="68">
        <f>IFERROR(INDEX(Productos!$H$5:$H$124,MATCH($C489,Productos!$A$5:$A$124,0)),"")</f>
        <v/>
      </c>
      <c r="H489" s="185" t="n">
        <v>0.06837606837606836</v>
      </c>
      <c r="I489" s="68">
        <f>IFERROR($G489*(1-$H489),"")</f>
        <v/>
      </c>
      <c r="J489" s="182" t="inlineStr">
        <is>
          <t>Crédito propio</t>
        </is>
      </c>
      <c r="K489" s="69">
        <f>IF($J489="",0,IF($J489="Contado",Inicio!$C$26,IF($J489="Tarjeta",Inicio!$C$27,IF($J489="Crédito propio",Inicio!$C$28,0))))</f>
        <v/>
      </c>
      <c r="L489" s="68">
        <f>IFERROR($F489*$I489,"")</f>
        <v/>
      </c>
      <c r="M489" s="68">
        <f>IFERROR($F489*INDEX(Productos!$G$5:$G$124,MATCH($C489,Productos!$A$5:$A$124,0)),"")</f>
        <v/>
      </c>
      <c r="N489" s="68">
        <f>IFERROR($L489*$K489,"")</f>
        <v/>
      </c>
      <c r="O489" s="68">
        <f>IFERROR($L489-$M489,"")</f>
        <v/>
      </c>
      <c r="P489" s="68">
        <f>IFERROR($O489-$N489,"")</f>
        <v/>
      </c>
      <c r="Q489" s="69">
        <f>IFERROR($P489/$L489,"")</f>
        <v/>
      </c>
    </row>
    <row r="490" ht="15" customHeight="1" s="47">
      <c r="A490" s="183" t="n">
        <v>46210</v>
      </c>
      <c r="B490" s="182" t="inlineStr">
        <is>
          <t>T03</t>
        </is>
      </c>
      <c r="C490" s="182" t="inlineStr">
        <is>
          <t>EL-039</t>
        </is>
      </c>
      <c r="D490" s="59">
        <f>IFERROR(INDEX(Productos!$B$5:$B$124,MATCH($C490,Productos!$A$5:$A$124,0)),"")</f>
        <v/>
      </c>
      <c r="E490" s="59">
        <f>IFERROR(INDEX(Productos!$D$5:$D$124,MATCH($C490,Productos!$A$5:$A$124,0)),"")</f>
        <v/>
      </c>
      <c r="F490" s="186" t="n">
        <v>1</v>
      </c>
      <c r="G490" s="68">
        <f>IFERROR(INDEX(Productos!$H$5:$H$124,MATCH($C490,Productos!$A$5:$A$124,0)),"")</f>
        <v/>
      </c>
      <c r="H490" s="185" t="n">
        <v>0.03</v>
      </c>
      <c r="I490" s="68">
        <f>IFERROR($G490*(1-$H490),"")</f>
        <v/>
      </c>
      <c r="J490" s="182" t="inlineStr">
        <is>
          <t>Tarjeta</t>
        </is>
      </c>
      <c r="K490" s="69">
        <f>IF($J490="",0,IF($J490="Contado",Inicio!$C$26,IF($J490="Tarjeta",Inicio!$C$27,IF($J490="Crédito propio",Inicio!$C$28,0))))</f>
        <v/>
      </c>
      <c r="L490" s="68">
        <f>IFERROR($F490*$I490,"")</f>
        <v/>
      </c>
      <c r="M490" s="68">
        <f>IFERROR($F490*INDEX(Productos!$G$5:$G$124,MATCH($C490,Productos!$A$5:$A$124,0)),"")</f>
        <v/>
      </c>
      <c r="N490" s="68">
        <f>IFERROR($L490*$K490,"")</f>
        <v/>
      </c>
      <c r="O490" s="68">
        <f>IFERROR($L490-$M490,"")</f>
        <v/>
      </c>
      <c r="P490" s="68">
        <f>IFERROR($O490-$N490,"")</f>
        <v/>
      </c>
      <c r="Q490" s="69">
        <f>IFERROR($P490/$L490,"")</f>
        <v/>
      </c>
    </row>
    <row r="491" ht="15" customHeight="1" s="47">
      <c r="A491" s="183" t="n">
        <v>46210</v>
      </c>
      <c r="B491" s="182" t="inlineStr">
        <is>
          <t>T03</t>
        </is>
      </c>
      <c r="C491" s="182" t="inlineStr">
        <is>
          <t>EL-046</t>
        </is>
      </c>
      <c r="D491" s="59">
        <f>IFERROR(INDEX(Productos!$B$5:$B$124,MATCH($C491,Productos!$A$5:$A$124,0)),"")</f>
        <v/>
      </c>
      <c r="E491" s="59">
        <f>IFERROR(INDEX(Productos!$D$5:$D$124,MATCH($C491,Productos!$A$5:$A$124,0)),"")</f>
        <v/>
      </c>
      <c r="F491" s="186" t="n">
        <v>1</v>
      </c>
      <c r="G491" s="68">
        <f>IFERROR(INDEX(Productos!$H$5:$H$124,MATCH($C491,Productos!$A$5:$A$124,0)),"")</f>
        <v/>
      </c>
      <c r="H491" s="185" t="n">
        <v>0.061</v>
      </c>
      <c r="I491" s="68">
        <f>IFERROR($G491*(1-$H491),"")</f>
        <v/>
      </c>
      <c r="J491" s="182" t="inlineStr">
        <is>
          <t>Crédito propio</t>
        </is>
      </c>
      <c r="K491" s="69">
        <f>IF($J491="",0,IF($J491="Contado",Inicio!$C$26,IF($J491="Tarjeta",Inicio!$C$27,IF($J491="Crédito propio",Inicio!$C$28,0))))</f>
        <v/>
      </c>
      <c r="L491" s="68">
        <f>IFERROR($F491*$I491,"")</f>
        <v/>
      </c>
      <c r="M491" s="68">
        <f>IFERROR($F491*INDEX(Productos!$G$5:$G$124,MATCH($C491,Productos!$A$5:$A$124,0)),"")</f>
        <v/>
      </c>
      <c r="N491" s="68">
        <f>IFERROR($L491*$K491,"")</f>
        <v/>
      </c>
      <c r="O491" s="68">
        <f>IFERROR($L491-$M491,"")</f>
        <v/>
      </c>
      <c r="P491" s="68">
        <f>IFERROR($O491-$N491,"")</f>
        <v/>
      </c>
      <c r="Q491" s="69">
        <f>IFERROR($P491/$L491,"")</f>
        <v/>
      </c>
    </row>
    <row r="492" ht="15" customHeight="1" s="47">
      <c r="A492" s="183" t="n">
        <v>46210</v>
      </c>
      <c r="B492" s="182" t="inlineStr">
        <is>
          <t>T03</t>
        </is>
      </c>
      <c r="C492" s="182" t="inlineStr">
        <is>
          <t>EL-049</t>
        </is>
      </c>
      <c r="D492" s="59">
        <f>IFERROR(INDEX(Productos!$B$5:$B$124,MATCH($C492,Productos!$A$5:$A$124,0)),"")</f>
        <v/>
      </c>
      <c r="E492" s="59">
        <f>IFERROR(INDEX(Productos!$D$5:$D$124,MATCH($C492,Productos!$A$5:$A$124,0)),"")</f>
        <v/>
      </c>
      <c r="F492" s="186" t="n">
        <v>1</v>
      </c>
      <c r="G492" s="68">
        <f>IFERROR(INDEX(Productos!$H$5:$H$124,MATCH($C492,Productos!$A$5:$A$124,0)),"")</f>
        <v/>
      </c>
      <c r="H492" s="185" t="n">
        <v>0.03</v>
      </c>
      <c r="I492" s="68">
        <f>IFERROR($G492*(1-$H492),"")</f>
        <v/>
      </c>
      <c r="J492" s="182" t="inlineStr">
        <is>
          <t>Contado</t>
        </is>
      </c>
      <c r="K492" s="69">
        <f>IF($J492="",0,IF($J492="Contado",Inicio!$C$26,IF($J492="Tarjeta",Inicio!$C$27,IF($J492="Crédito propio",Inicio!$C$28,0))))</f>
        <v/>
      </c>
      <c r="L492" s="68">
        <f>IFERROR($F492*$I492,"")</f>
        <v/>
      </c>
      <c r="M492" s="68">
        <f>IFERROR($F492*INDEX(Productos!$G$5:$G$124,MATCH($C492,Productos!$A$5:$A$124,0)),"")</f>
        <v/>
      </c>
      <c r="N492" s="68">
        <f>IFERROR($L492*$K492,"")</f>
        <v/>
      </c>
      <c r="O492" s="68">
        <f>IFERROR($L492-$M492,"")</f>
        <v/>
      </c>
      <c r="P492" s="68">
        <f>IFERROR($O492-$N492,"")</f>
        <v/>
      </c>
      <c r="Q492" s="69">
        <f>IFERROR($P492/$L492,"")</f>
        <v/>
      </c>
    </row>
    <row r="493" ht="15" customHeight="1" s="47">
      <c r="A493" s="183" t="n">
        <v>46210</v>
      </c>
      <c r="B493" s="182" t="inlineStr">
        <is>
          <t>T04</t>
        </is>
      </c>
      <c r="C493" s="182" t="inlineStr">
        <is>
          <t>EL-016</t>
        </is>
      </c>
      <c r="D493" s="59">
        <f>IFERROR(INDEX(Productos!$B$5:$B$124,MATCH($C493,Productos!$A$5:$A$124,0)),"")</f>
        <v/>
      </c>
      <c r="E493" s="59">
        <f>IFERROR(INDEX(Productos!$D$5:$D$124,MATCH($C493,Productos!$A$5:$A$124,0)),"")</f>
        <v/>
      </c>
      <c r="F493" s="186" t="n">
        <v>1</v>
      </c>
      <c r="G493" s="68">
        <f>IFERROR(INDEX(Productos!$H$5:$H$124,MATCH($C493,Productos!$A$5:$A$124,0)),"")</f>
        <v/>
      </c>
      <c r="H493" s="185" t="n">
        <v>0.07199999999999995</v>
      </c>
      <c r="I493" s="68">
        <f>IFERROR($G493*(1-$H493),"")</f>
        <v/>
      </c>
      <c r="J493" s="182" t="inlineStr">
        <is>
          <t>Tarjeta</t>
        </is>
      </c>
      <c r="K493" s="69">
        <f>IF($J493="",0,IF($J493="Contado",Inicio!$C$26,IF($J493="Tarjeta",Inicio!$C$27,IF($J493="Crédito propio",Inicio!$C$28,0))))</f>
        <v/>
      </c>
      <c r="L493" s="68">
        <f>IFERROR($F493*$I493,"")</f>
        <v/>
      </c>
      <c r="M493" s="68">
        <f>IFERROR($F493*INDEX(Productos!$G$5:$G$124,MATCH($C493,Productos!$A$5:$A$124,0)),"")</f>
        <v/>
      </c>
      <c r="N493" s="68">
        <f>IFERROR($L493*$K493,"")</f>
        <v/>
      </c>
      <c r="O493" s="68">
        <f>IFERROR($L493-$M493,"")</f>
        <v/>
      </c>
      <c r="P493" s="68">
        <f>IFERROR($O493-$N493,"")</f>
        <v/>
      </c>
      <c r="Q493" s="69">
        <f>IFERROR($P493/$L493,"")</f>
        <v/>
      </c>
    </row>
    <row r="494" ht="15" customHeight="1" s="47">
      <c r="A494" s="183" t="n">
        <v>46210</v>
      </c>
      <c r="B494" s="182" t="inlineStr">
        <is>
          <t>T04</t>
        </is>
      </c>
      <c r="C494" s="182" t="inlineStr">
        <is>
          <t>EL-024</t>
        </is>
      </c>
      <c r="D494" s="59">
        <f>IFERROR(INDEX(Productos!$B$5:$B$124,MATCH($C494,Productos!$A$5:$A$124,0)),"")</f>
        <v/>
      </c>
      <c r="E494" s="59">
        <f>IFERROR(INDEX(Productos!$D$5:$D$124,MATCH($C494,Productos!$A$5:$A$124,0)),"")</f>
        <v/>
      </c>
      <c r="F494" s="186" t="n">
        <v>1</v>
      </c>
      <c r="G494" s="68">
        <f>IFERROR(INDEX(Productos!$H$5:$H$124,MATCH($C494,Productos!$A$5:$A$124,0)),"")</f>
        <v/>
      </c>
      <c r="H494" s="185" t="n">
        <v>0.05</v>
      </c>
      <c r="I494" s="68">
        <f>IFERROR($G494*(1-$H494),"")</f>
        <v/>
      </c>
      <c r="J494" s="182" t="inlineStr">
        <is>
          <t>Tarjeta</t>
        </is>
      </c>
      <c r="K494" s="69">
        <f>IF($J494="",0,IF($J494="Contado",Inicio!$C$26,IF($J494="Tarjeta",Inicio!$C$27,IF($J494="Crédito propio",Inicio!$C$28,0))))</f>
        <v/>
      </c>
      <c r="L494" s="68">
        <f>IFERROR($F494*$I494,"")</f>
        <v/>
      </c>
      <c r="M494" s="68">
        <f>IFERROR($F494*INDEX(Productos!$G$5:$G$124,MATCH($C494,Productos!$A$5:$A$124,0)),"")</f>
        <v/>
      </c>
      <c r="N494" s="68">
        <f>IFERROR($L494*$K494,"")</f>
        <v/>
      </c>
      <c r="O494" s="68">
        <f>IFERROR($L494-$M494,"")</f>
        <v/>
      </c>
      <c r="P494" s="68">
        <f>IFERROR($O494-$N494,"")</f>
        <v/>
      </c>
      <c r="Q494" s="69">
        <f>IFERROR($P494/$L494,"")</f>
        <v/>
      </c>
    </row>
    <row r="495" ht="15" customHeight="1" s="47">
      <c r="A495" s="183" t="n">
        <v>46210</v>
      </c>
      <c r="B495" s="182" t="inlineStr">
        <is>
          <t>T04</t>
        </is>
      </c>
      <c r="C495" s="182" t="inlineStr">
        <is>
          <t>EL-025</t>
        </is>
      </c>
      <c r="D495" s="59">
        <f>IFERROR(INDEX(Productos!$B$5:$B$124,MATCH($C495,Productos!$A$5:$A$124,0)),"")</f>
        <v/>
      </c>
      <c r="E495" s="59">
        <f>IFERROR(INDEX(Productos!$D$5:$D$124,MATCH($C495,Productos!$A$5:$A$124,0)),"")</f>
        <v/>
      </c>
      <c r="F495" s="186" t="n">
        <v>1</v>
      </c>
      <c r="G495" s="68">
        <f>IFERROR(INDEX(Productos!$H$5:$H$124,MATCH($C495,Productos!$A$5:$A$124,0)),"")</f>
        <v/>
      </c>
      <c r="H495" s="185" t="n">
        <v>0.07079646017699115</v>
      </c>
      <c r="I495" s="68">
        <f>IFERROR($G495*(1-$H495),"")</f>
        <v/>
      </c>
      <c r="J495" s="182" t="inlineStr">
        <is>
          <t>Tarjeta</t>
        </is>
      </c>
      <c r="K495" s="69">
        <f>IF($J495="",0,IF($J495="Contado",Inicio!$C$26,IF($J495="Tarjeta",Inicio!$C$27,IF($J495="Crédito propio",Inicio!$C$28,0))))</f>
        <v/>
      </c>
      <c r="L495" s="68">
        <f>IFERROR($F495*$I495,"")</f>
        <v/>
      </c>
      <c r="M495" s="68">
        <f>IFERROR($F495*INDEX(Productos!$G$5:$G$124,MATCH($C495,Productos!$A$5:$A$124,0)),"")</f>
        <v/>
      </c>
      <c r="N495" s="68">
        <f>IFERROR($L495*$K495,"")</f>
        <v/>
      </c>
      <c r="O495" s="68">
        <f>IFERROR($L495-$M495,"")</f>
        <v/>
      </c>
      <c r="P495" s="68">
        <f>IFERROR($O495-$N495,"")</f>
        <v/>
      </c>
      <c r="Q495" s="69">
        <f>IFERROR($P495/$L495,"")</f>
        <v/>
      </c>
    </row>
    <row r="496" ht="15" customHeight="1" s="47">
      <c r="A496" s="183" t="n">
        <v>46210</v>
      </c>
      <c r="B496" s="182" t="inlineStr">
        <is>
          <t>T04</t>
        </is>
      </c>
      <c r="C496" s="182" t="inlineStr">
        <is>
          <t>EL-026</t>
        </is>
      </c>
      <c r="D496" s="59">
        <f>IFERROR(INDEX(Productos!$B$5:$B$124,MATCH($C496,Productos!$A$5:$A$124,0)),"")</f>
        <v/>
      </c>
      <c r="E496" s="59">
        <f>IFERROR(INDEX(Productos!$D$5:$D$124,MATCH($C496,Productos!$A$5:$A$124,0)),"")</f>
        <v/>
      </c>
      <c r="F496" s="186" t="n">
        <v>1</v>
      </c>
      <c r="G496" s="68">
        <f>IFERROR(INDEX(Productos!$H$5:$H$124,MATCH($C496,Productos!$A$5:$A$124,0)),"")</f>
        <v/>
      </c>
      <c r="H496" s="185" t="n">
        <v>0.03</v>
      </c>
      <c r="I496" s="68">
        <f>IFERROR($G496*(1-$H496),"")</f>
        <v/>
      </c>
      <c r="J496" s="182" t="inlineStr">
        <is>
          <t>Contado</t>
        </is>
      </c>
      <c r="K496" s="69">
        <f>IF($J496="",0,IF($J496="Contado",Inicio!$C$26,IF($J496="Tarjeta",Inicio!$C$27,IF($J496="Crédito propio",Inicio!$C$28,0))))</f>
        <v/>
      </c>
      <c r="L496" s="68">
        <f>IFERROR($F496*$I496,"")</f>
        <v/>
      </c>
      <c r="M496" s="68">
        <f>IFERROR($F496*INDEX(Productos!$G$5:$G$124,MATCH($C496,Productos!$A$5:$A$124,0)),"")</f>
        <v/>
      </c>
      <c r="N496" s="68">
        <f>IFERROR($L496*$K496,"")</f>
        <v/>
      </c>
      <c r="O496" s="68">
        <f>IFERROR($L496-$M496,"")</f>
        <v/>
      </c>
      <c r="P496" s="68">
        <f>IFERROR($O496-$N496,"")</f>
        <v/>
      </c>
      <c r="Q496" s="69">
        <f>IFERROR($P496/$L496,"")</f>
        <v/>
      </c>
    </row>
    <row r="497" ht="15" customHeight="1" s="47">
      <c r="A497" s="183" t="n">
        <v>46210</v>
      </c>
      <c r="B497" s="182" t="inlineStr">
        <is>
          <t>T04</t>
        </is>
      </c>
      <c r="C497" s="182" t="inlineStr">
        <is>
          <t>EL-036</t>
        </is>
      </c>
      <c r="D497" s="59">
        <f>IFERROR(INDEX(Productos!$B$5:$B$124,MATCH($C497,Productos!$A$5:$A$124,0)),"")</f>
        <v/>
      </c>
      <c r="E497" s="59">
        <f>IFERROR(INDEX(Productos!$D$5:$D$124,MATCH($C497,Productos!$A$5:$A$124,0)),"")</f>
        <v/>
      </c>
      <c r="F497" s="186" t="n">
        <v>1</v>
      </c>
      <c r="G497" s="68">
        <f>IFERROR(INDEX(Productos!$H$5:$H$124,MATCH($C497,Productos!$A$5:$A$124,0)),"")</f>
        <v/>
      </c>
      <c r="H497" s="185" t="n">
        <v>0.063</v>
      </c>
      <c r="I497" s="68">
        <f>IFERROR($G497*(1-$H497),"")</f>
        <v/>
      </c>
      <c r="J497" s="182" t="inlineStr">
        <is>
          <t>Crédito propio</t>
        </is>
      </c>
      <c r="K497" s="69">
        <f>IF($J497="",0,IF($J497="Contado",Inicio!$C$26,IF($J497="Tarjeta",Inicio!$C$27,IF($J497="Crédito propio",Inicio!$C$28,0))))</f>
        <v/>
      </c>
      <c r="L497" s="68">
        <f>IFERROR($F497*$I497,"")</f>
        <v/>
      </c>
      <c r="M497" s="68">
        <f>IFERROR($F497*INDEX(Productos!$G$5:$G$124,MATCH($C497,Productos!$A$5:$A$124,0)),"")</f>
        <v/>
      </c>
      <c r="N497" s="68">
        <f>IFERROR($L497*$K497,"")</f>
        <v/>
      </c>
      <c r="O497" s="68">
        <f>IFERROR($L497-$M497,"")</f>
        <v/>
      </c>
      <c r="P497" s="68">
        <f>IFERROR($O497-$N497,"")</f>
        <v/>
      </c>
      <c r="Q497" s="69">
        <f>IFERROR($P497/$L497,"")</f>
        <v/>
      </c>
    </row>
    <row r="498" ht="15" customHeight="1" s="47">
      <c r="A498" s="183" t="n">
        <v>46210</v>
      </c>
      <c r="B498" s="182" t="inlineStr">
        <is>
          <t>T05</t>
        </is>
      </c>
      <c r="C498" s="182" t="inlineStr">
        <is>
          <t>EL-002</t>
        </is>
      </c>
      <c r="D498" s="59">
        <f>IFERROR(INDEX(Productos!$B$5:$B$124,MATCH($C498,Productos!$A$5:$A$124,0)),"")</f>
        <v/>
      </c>
      <c r="E498" s="59">
        <f>IFERROR(INDEX(Productos!$D$5:$D$124,MATCH($C498,Productos!$A$5:$A$124,0)),"")</f>
        <v/>
      </c>
      <c r="F498" s="186" t="n">
        <v>1</v>
      </c>
      <c r="G498" s="68">
        <f>IFERROR(INDEX(Productos!$H$5:$H$124,MATCH($C498,Productos!$A$5:$A$124,0)),"")</f>
        <v/>
      </c>
      <c r="H498" s="185" t="n">
        <v>0.0688405797101449</v>
      </c>
      <c r="I498" s="68">
        <f>IFERROR($G498*(1-$H498),"")</f>
        <v/>
      </c>
      <c r="J498" s="182" t="inlineStr">
        <is>
          <t>Contado</t>
        </is>
      </c>
      <c r="K498" s="69">
        <f>IF($J498="",0,IF($J498="Contado",Inicio!$C$26,IF($J498="Tarjeta",Inicio!$C$27,IF($J498="Crédito propio",Inicio!$C$28,0))))</f>
        <v/>
      </c>
      <c r="L498" s="68">
        <f>IFERROR($F498*$I498,"")</f>
        <v/>
      </c>
      <c r="M498" s="68">
        <f>IFERROR($F498*INDEX(Productos!$G$5:$G$124,MATCH($C498,Productos!$A$5:$A$124,0)),"")</f>
        <v/>
      </c>
      <c r="N498" s="68">
        <f>IFERROR($L498*$K498,"")</f>
        <v/>
      </c>
      <c r="O498" s="68">
        <f>IFERROR($L498-$M498,"")</f>
        <v/>
      </c>
      <c r="P498" s="68">
        <f>IFERROR($O498-$N498,"")</f>
        <v/>
      </c>
      <c r="Q498" s="69">
        <f>IFERROR($P498/$L498,"")</f>
        <v/>
      </c>
    </row>
    <row r="499" ht="15" customHeight="1" s="47">
      <c r="A499" s="183" t="n">
        <v>46210</v>
      </c>
      <c r="B499" s="182" t="inlineStr">
        <is>
          <t>T05</t>
        </is>
      </c>
      <c r="C499" s="182" t="inlineStr">
        <is>
          <t>EL-003</t>
        </is>
      </c>
      <c r="D499" s="59">
        <f>IFERROR(INDEX(Productos!$B$5:$B$124,MATCH($C499,Productos!$A$5:$A$124,0)),"")</f>
        <v/>
      </c>
      <c r="E499" s="59">
        <f>IFERROR(INDEX(Productos!$D$5:$D$124,MATCH($C499,Productos!$A$5:$A$124,0)),"")</f>
        <v/>
      </c>
      <c r="F499" s="186" t="n">
        <v>1</v>
      </c>
      <c r="G499" s="68">
        <f>IFERROR(INDEX(Productos!$H$5:$H$124,MATCH($C499,Productos!$A$5:$A$124,0)),"")</f>
        <v/>
      </c>
      <c r="H499" s="185" t="n">
        <v>0.07199999999999999</v>
      </c>
      <c r="I499" s="68">
        <f>IFERROR($G499*(1-$H499),"")</f>
        <v/>
      </c>
      <c r="J499" s="182" t="inlineStr">
        <is>
          <t>Tarjeta</t>
        </is>
      </c>
      <c r="K499" s="69">
        <f>IF($J499="",0,IF($J499="Contado",Inicio!$C$26,IF($J499="Tarjeta",Inicio!$C$27,IF($J499="Crédito propio",Inicio!$C$28,0))))</f>
        <v/>
      </c>
      <c r="L499" s="68">
        <f>IFERROR($F499*$I499,"")</f>
        <v/>
      </c>
      <c r="M499" s="68">
        <f>IFERROR($F499*INDEX(Productos!$G$5:$G$124,MATCH($C499,Productos!$A$5:$A$124,0)),"")</f>
        <v/>
      </c>
      <c r="N499" s="68">
        <f>IFERROR($L499*$K499,"")</f>
        <v/>
      </c>
      <c r="O499" s="68">
        <f>IFERROR($L499-$M499,"")</f>
        <v/>
      </c>
      <c r="P499" s="68">
        <f>IFERROR($O499-$N499,"")</f>
        <v/>
      </c>
      <c r="Q499" s="69">
        <f>IFERROR($P499/$L499,"")</f>
        <v/>
      </c>
    </row>
    <row r="500" ht="15" customHeight="1" s="47">
      <c r="A500" s="183" t="n">
        <v>46210</v>
      </c>
      <c r="B500" s="182" t="inlineStr">
        <is>
          <t>T05</t>
        </is>
      </c>
      <c r="C500" s="182" t="inlineStr">
        <is>
          <t>EL-006</t>
        </is>
      </c>
      <c r="D500" s="59">
        <f>IFERROR(INDEX(Productos!$B$5:$B$124,MATCH($C500,Productos!$A$5:$A$124,0)),"")</f>
        <v/>
      </c>
      <c r="E500" s="59">
        <f>IFERROR(INDEX(Productos!$D$5:$D$124,MATCH($C500,Productos!$A$5:$A$124,0)),"")</f>
        <v/>
      </c>
      <c r="F500" s="186" t="n">
        <v>1</v>
      </c>
      <c r="G500" s="68">
        <f>IFERROR(INDEX(Productos!$H$5:$H$124,MATCH($C500,Productos!$A$5:$A$124,0)),"")</f>
        <v/>
      </c>
      <c r="H500" s="185" t="n">
        <v>0.05</v>
      </c>
      <c r="I500" s="68">
        <f>IFERROR($G500*(1-$H500),"")</f>
        <v/>
      </c>
      <c r="J500" s="182" t="inlineStr">
        <is>
          <t>Contado</t>
        </is>
      </c>
      <c r="K500" s="69">
        <f>IF($J500="",0,IF($J500="Contado",Inicio!$C$26,IF($J500="Tarjeta",Inicio!$C$27,IF($J500="Crédito propio",Inicio!$C$28,0))))</f>
        <v/>
      </c>
      <c r="L500" s="68">
        <f>IFERROR($F500*$I500,"")</f>
        <v/>
      </c>
      <c r="M500" s="68">
        <f>IFERROR($F500*INDEX(Productos!$G$5:$G$124,MATCH($C500,Productos!$A$5:$A$124,0)),"")</f>
        <v/>
      </c>
      <c r="N500" s="68">
        <f>IFERROR($L500*$K500,"")</f>
        <v/>
      </c>
      <c r="O500" s="68">
        <f>IFERROR($L500-$M500,"")</f>
        <v/>
      </c>
      <c r="P500" s="68">
        <f>IFERROR($O500-$N500,"")</f>
        <v/>
      </c>
      <c r="Q500" s="69">
        <f>IFERROR($P500/$L500,"")</f>
        <v/>
      </c>
    </row>
    <row r="501" ht="15" customHeight="1" s="47">
      <c r="A501" s="183" t="n">
        <v>46210</v>
      </c>
      <c r="B501" s="182" t="inlineStr">
        <is>
          <t>T05</t>
        </is>
      </c>
      <c r="C501" s="182" t="inlineStr">
        <is>
          <t>EL-009</t>
        </is>
      </c>
      <c r="D501" s="59">
        <f>IFERROR(INDEX(Productos!$B$5:$B$124,MATCH($C501,Productos!$A$5:$A$124,0)),"")</f>
        <v/>
      </c>
      <c r="E501" s="59">
        <f>IFERROR(INDEX(Productos!$D$5:$D$124,MATCH($C501,Productos!$A$5:$A$124,0)),"")</f>
        <v/>
      </c>
      <c r="F501" s="186" t="n">
        <v>1</v>
      </c>
      <c r="G501" s="68">
        <f>IFERROR(INDEX(Productos!$H$5:$H$124,MATCH($C501,Productos!$A$5:$A$124,0)),"")</f>
        <v/>
      </c>
      <c r="H501" s="185" t="n">
        <v>0</v>
      </c>
      <c r="I501" s="68">
        <f>IFERROR($G501*(1-$H501),"")</f>
        <v/>
      </c>
      <c r="J501" s="182" t="inlineStr">
        <is>
          <t>Tarjeta</t>
        </is>
      </c>
      <c r="K501" s="69">
        <f>IF($J501="",0,IF($J501="Contado",Inicio!$C$26,IF($J501="Tarjeta",Inicio!$C$27,IF($J501="Crédito propio",Inicio!$C$28,0))))</f>
        <v/>
      </c>
      <c r="L501" s="68">
        <f>IFERROR($F501*$I501,"")</f>
        <v/>
      </c>
      <c r="M501" s="68">
        <f>IFERROR($F501*INDEX(Productos!$G$5:$G$124,MATCH($C501,Productos!$A$5:$A$124,0)),"")</f>
        <v/>
      </c>
      <c r="N501" s="68">
        <f>IFERROR($L501*$K501,"")</f>
        <v/>
      </c>
      <c r="O501" s="68">
        <f>IFERROR($L501-$M501,"")</f>
        <v/>
      </c>
      <c r="P501" s="68">
        <f>IFERROR($O501-$N501,"")</f>
        <v/>
      </c>
      <c r="Q501" s="69">
        <f>IFERROR($P501/$L501,"")</f>
        <v/>
      </c>
    </row>
    <row r="502" ht="15" customHeight="1" s="47">
      <c r="A502" s="183" t="n">
        <v>46210</v>
      </c>
      <c r="B502" s="182" t="inlineStr">
        <is>
          <t>T05</t>
        </is>
      </c>
      <c r="C502" s="182" t="inlineStr">
        <is>
          <t>EL-011</t>
        </is>
      </c>
      <c r="D502" s="59">
        <f>IFERROR(INDEX(Productos!$B$5:$B$124,MATCH($C502,Productos!$A$5:$A$124,0)),"")</f>
        <v/>
      </c>
      <c r="E502" s="59">
        <f>IFERROR(INDEX(Productos!$D$5:$D$124,MATCH($C502,Productos!$A$5:$A$124,0)),"")</f>
        <v/>
      </c>
      <c r="F502" s="186" t="n">
        <v>2</v>
      </c>
      <c r="G502" s="68">
        <f>IFERROR(INDEX(Productos!$H$5:$H$124,MATCH($C502,Productos!$A$5:$A$124,0)),"")</f>
        <v/>
      </c>
      <c r="H502" s="185" t="n">
        <v>0.03</v>
      </c>
      <c r="I502" s="68">
        <f>IFERROR($G502*(1-$H502),"")</f>
        <v/>
      </c>
      <c r="J502" s="182" t="inlineStr">
        <is>
          <t>Crédito propio</t>
        </is>
      </c>
      <c r="K502" s="69">
        <f>IF($J502="",0,IF($J502="Contado",Inicio!$C$26,IF($J502="Tarjeta",Inicio!$C$27,IF($J502="Crédito propio",Inicio!$C$28,0))))</f>
        <v/>
      </c>
      <c r="L502" s="68">
        <f>IFERROR($F502*$I502,"")</f>
        <v/>
      </c>
      <c r="M502" s="68">
        <f>IFERROR($F502*INDEX(Productos!$G$5:$G$124,MATCH($C502,Productos!$A$5:$A$124,0)),"")</f>
        <v/>
      </c>
      <c r="N502" s="68">
        <f>IFERROR($L502*$K502,"")</f>
        <v/>
      </c>
      <c r="O502" s="68">
        <f>IFERROR($L502-$M502,"")</f>
        <v/>
      </c>
      <c r="P502" s="68">
        <f>IFERROR($O502-$N502,"")</f>
        <v/>
      </c>
      <c r="Q502" s="69">
        <f>IFERROR($P502/$L502,"")</f>
        <v/>
      </c>
    </row>
    <row r="503" ht="15" customHeight="1" s="47">
      <c r="A503" s="183" t="n">
        <v>46210</v>
      </c>
      <c r="B503" s="182" t="inlineStr">
        <is>
          <t>T05</t>
        </is>
      </c>
      <c r="C503" s="182" t="inlineStr">
        <is>
          <t>EL-013</t>
        </is>
      </c>
      <c r="D503" s="59">
        <f>IFERROR(INDEX(Productos!$B$5:$B$124,MATCH($C503,Productos!$A$5:$A$124,0)),"")</f>
        <v/>
      </c>
      <c r="E503" s="59">
        <f>IFERROR(INDEX(Productos!$D$5:$D$124,MATCH($C503,Productos!$A$5:$A$124,0)),"")</f>
        <v/>
      </c>
      <c r="F503" s="186" t="n">
        <v>1</v>
      </c>
      <c r="G503" s="68">
        <f>IFERROR(INDEX(Productos!$H$5:$H$124,MATCH($C503,Productos!$A$5:$A$124,0)),"")</f>
        <v/>
      </c>
      <c r="H503" s="185" t="n">
        <v>0.03</v>
      </c>
      <c r="I503" s="68">
        <f>IFERROR($G503*(1-$H503),"")</f>
        <v/>
      </c>
      <c r="J503" s="182" t="inlineStr">
        <is>
          <t>Crédito propio</t>
        </is>
      </c>
      <c r="K503" s="69">
        <f>IF($J503="",0,IF($J503="Contado",Inicio!$C$26,IF($J503="Tarjeta",Inicio!$C$27,IF($J503="Crédito propio",Inicio!$C$28,0))))</f>
        <v/>
      </c>
      <c r="L503" s="68">
        <f>IFERROR($F503*$I503,"")</f>
        <v/>
      </c>
      <c r="M503" s="68">
        <f>IFERROR($F503*INDEX(Productos!$G$5:$G$124,MATCH($C503,Productos!$A$5:$A$124,0)),"")</f>
        <v/>
      </c>
      <c r="N503" s="68">
        <f>IFERROR($L503*$K503,"")</f>
        <v/>
      </c>
      <c r="O503" s="68">
        <f>IFERROR($L503-$M503,"")</f>
        <v/>
      </c>
      <c r="P503" s="68">
        <f>IFERROR($O503-$N503,"")</f>
        <v/>
      </c>
      <c r="Q503" s="69">
        <f>IFERROR($P503/$L503,"")</f>
        <v/>
      </c>
    </row>
    <row r="504" ht="15" customHeight="1" s="47">
      <c r="A504" s="183" t="n">
        <v>46210</v>
      </c>
      <c r="B504" s="182" t="inlineStr">
        <is>
          <t>T05</t>
        </is>
      </c>
      <c r="C504" s="182" t="inlineStr">
        <is>
          <t>EL-018</t>
        </is>
      </c>
      <c r="D504" s="59">
        <f>IFERROR(INDEX(Productos!$B$5:$B$124,MATCH($C504,Productos!$A$5:$A$124,0)),"")</f>
        <v/>
      </c>
      <c r="E504" s="59">
        <f>IFERROR(INDEX(Productos!$D$5:$D$124,MATCH($C504,Productos!$A$5:$A$124,0)),"")</f>
        <v/>
      </c>
      <c r="F504" s="186" t="n">
        <v>1</v>
      </c>
      <c r="G504" s="68">
        <f>IFERROR(INDEX(Productos!$H$5:$H$124,MATCH($C504,Productos!$A$5:$A$124,0)),"")</f>
        <v/>
      </c>
      <c r="H504" s="185" t="n">
        <v>0.07377049180327866</v>
      </c>
      <c r="I504" s="68">
        <f>IFERROR($G504*(1-$H504),"")</f>
        <v/>
      </c>
      <c r="J504" s="182" t="inlineStr">
        <is>
          <t>Tarjeta</t>
        </is>
      </c>
      <c r="K504" s="69">
        <f>IF($J504="",0,IF($J504="Contado",Inicio!$C$26,IF($J504="Tarjeta",Inicio!$C$27,IF($J504="Crédito propio",Inicio!$C$28,0))))</f>
        <v/>
      </c>
      <c r="L504" s="68">
        <f>IFERROR($F504*$I504,"")</f>
        <v/>
      </c>
      <c r="M504" s="68">
        <f>IFERROR($F504*INDEX(Productos!$G$5:$G$124,MATCH($C504,Productos!$A$5:$A$124,0)),"")</f>
        <v/>
      </c>
      <c r="N504" s="68">
        <f>IFERROR($L504*$K504,"")</f>
        <v/>
      </c>
      <c r="O504" s="68">
        <f>IFERROR($L504-$M504,"")</f>
        <v/>
      </c>
      <c r="P504" s="68">
        <f>IFERROR($O504-$N504,"")</f>
        <v/>
      </c>
      <c r="Q504" s="69">
        <f>IFERROR($P504/$L504,"")</f>
        <v/>
      </c>
    </row>
    <row r="506" ht="15" customHeight="1" s="47">
      <c r="A506" s="62" t="inlineStr">
        <is>
          <t>La forma de pago se escoge de la lista. El «margen después de financiación» descuenta lo que le cuesta a la cadena cobrar de esa manera: es el margen que de verdad entra a caja.</t>
        </is>
      </c>
    </row>
  </sheetData>
  <mergeCells count="3">
    <mergeCell ref="A2:Q2"/>
    <mergeCell ref="A506:J506"/>
    <mergeCell ref="A1:Q1"/>
  </mergeCells>
  <dataValidations count="1">
    <dataValidation sqref="J5:J504" showDropDown="0" showInputMessage="0" showErrorMessage="0" allowBlank="1" type="list" errorStyle="stop" operator="between">
      <formula1>"Contado,Tarjeta,Crédito propio"</formula1>
      <formula2>0</formula2>
    </dataValidation>
  </dataValidation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6.xml><?xml version="1.0" encoding="utf-8"?>
<worksheet xmlns="http://schemas.openxmlformats.org/spreadsheetml/2006/main">
  <sheetPr filterMode="0">
    <tabColor rgb="001A2761"/>
    <outlinePr summaryBelow="1" summaryRight="1"/>
    <pageSetUpPr fitToPage="0"/>
  </sheetPr>
  <dimension ref="A1:J181"/>
  <sheetViews>
    <sheetView showFormulas="0" showGridLines="0" showRowColHeaders="1" showZeros="1" rightToLeft="0" tabSelected="0" showOutlineSymbols="1" defaultGridColor="1" view="normal" topLeftCell="A1" colorId="64" zoomScale="90" zoomScaleNormal="100" zoomScalePageLayoutView="100" workbookViewId="0">
      <selection pane="topLeft" activeCell="A1" activeCellId="0" sqref="A1"/>
    </sheetView>
  </sheetViews>
  <sheetFormatPr baseColWidth="8" defaultColWidth="8.6796875" defaultRowHeight="15" customHeight="0" zeroHeight="0" outlineLevelRow="0"/>
  <cols>
    <col width="2" customWidth="1" style="46" min="1" max="1"/>
    <col width="28" customWidth="1" style="46" min="2" max="2"/>
    <col width="18" customWidth="1" style="46" min="3" max="4"/>
    <col width="20" customWidth="1" style="47" min="4" max="4"/>
    <col width="18" customWidth="1" style="46" min="5" max="5"/>
    <col width="22" customWidth="1" style="46" min="6" max="6"/>
    <col width="18" customWidth="1" style="46" min="7" max="7"/>
    <col width="17" customWidth="1" style="46" min="8" max="8"/>
    <col width="15" customWidth="1" style="46" min="9" max="9"/>
    <col width="2" customWidth="1" style="46" min="10" max="14"/>
  </cols>
  <sheetData>
    <row r="1" ht="28" customHeight="1" s="47">
      <c r="A1" s="75" t="n"/>
      <c r="B1" s="76" t="inlineStr">
        <is>
          <t>CADENA DE ELECTRODOMÉSTICOS  ·  Tablero de control</t>
        </is>
      </c>
      <c r="J1" s="75" t="n"/>
    </row>
    <row r="2" ht="15" customHeight="1" s="47">
      <c r="A2" s="75" t="n"/>
      <c r="B2" s="77" t="inlineStr">
        <is>
          <t>Se actualiza solo a medida que registra inventario por tienda y ventas. Los parámetros están en la hoja Inicio.</t>
        </is>
      </c>
      <c r="J2" s="75" t="n"/>
    </row>
    <row r="3" ht="4" customHeight="1" s="47">
      <c r="A3" s="75" t="n"/>
      <c r="B3" s="78" t="n"/>
      <c r="C3" s="79" t="n"/>
      <c r="D3" s="80" t="n"/>
      <c r="E3" s="81" t="n"/>
      <c r="F3" s="82" t="n"/>
      <c r="G3" s="83" t="n"/>
      <c r="H3" s="83" t="n"/>
      <c r="I3" s="84" t="n"/>
      <c r="J3" s="75" t="n"/>
    </row>
    <row r="4" ht="17" customHeight="1" s="47">
      <c r="A4" s="75" t="n"/>
      <c r="B4" s="187" t="inlineStr">
        <is>
          <t>VENTA NETA DEL PERIODO</t>
        </is>
      </c>
      <c r="C4" s="110" t="n"/>
      <c r="D4" s="187" t="inlineStr">
        <is>
          <t>MARGEN BRUTO ($)</t>
        </is>
      </c>
      <c r="E4" s="110" t="n"/>
      <c r="F4" s="187" t="inlineStr">
        <is>
          <t>MARGEN BRUTO (%)</t>
        </is>
      </c>
      <c r="I4" s="110" t="n"/>
      <c r="J4" s="75" t="n"/>
    </row>
    <row r="5" ht="33" customHeight="1" s="47">
      <c r="A5" s="75" t="n"/>
      <c r="B5" s="159">
        <f>SUM(Ventas!$L$5:$L$504)</f>
        <v/>
      </c>
      <c r="C5" s="160" t="n"/>
      <c r="D5" s="159">
        <f>SUM(Ventas!$O$5:$O$504)</f>
        <v/>
      </c>
      <c r="E5" s="160" t="n"/>
      <c r="F5" s="161">
        <f>IFERROR(SUM(Ventas!$O$5:$O$504)/SUM(Ventas!$L$5:$L$504),0)</f>
        <v/>
      </c>
      <c r="G5" s="162" t="n"/>
      <c r="H5" s="162" t="n"/>
      <c r="I5" s="160" t="n"/>
      <c r="J5" s="75" t="n"/>
    </row>
    <row r="6" ht="4" customHeight="1" s="47">
      <c r="A6" s="75" t="n"/>
      <c r="B6" s="92" t="n"/>
      <c r="C6" s="93" t="n"/>
      <c r="D6" s="94" t="n"/>
      <c r="E6" s="95" t="n"/>
      <c r="F6" s="96" t="n"/>
      <c r="G6" s="97" t="n"/>
      <c r="H6" s="97" t="n"/>
      <c r="I6" s="98" t="n"/>
      <c r="J6" s="75" t="n"/>
    </row>
    <row r="7" ht="17" customHeight="1" s="47">
      <c r="A7" s="75" t="n"/>
      <c r="B7" s="187" t="inlineStr">
        <is>
          <t>MARGEN DESPUÉS DE FINANCIACIÓN</t>
        </is>
      </c>
      <c r="C7" s="110" t="n"/>
      <c r="D7" s="187" t="inlineStr">
        <is>
          <t>MARGEN FINAL (%)</t>
        </is>
      </c>
      <c r="E7" s="110" t="n"/>
      <c r="F7" s="187" t="inlineStr">
        <is>
          <t>CAPITAL EN INVENTARIO (A COSTO)</t>
        </is>
      </c>
      <c r="I7" s="110" t="n"/>
      <c r="J7" s="75" t="n"/>
    </row>
    <row r="8" ht="33" customHeight="1" s="47">
      <c r="A8" s="75" t="n"/>
      <c r="B8" s="159">
        <f>SUM(Ventas!$P$5:$P$504)</f>
        <v/>
      </c>
      <c r="C8" s="160" t="n"/>
      <c r="D8" s="161">
        <f>IFERROR(SUM(Ventas!$P$5:$P$504)/SUM(Ventas!$L$5:$L$504),0)</f>
        <v/>
      </c>
      <c r="E8" s="160" t="n"/>
      <c r="F8" s="159">
        <f>SUM('Inventario por tienda'!$K$5:$K$304)</f>
        <v/>
      </c>
      <c r="G8" s="162" t="n"/>
      <c r="H8" s="162" t="n"/>
      <c r="I8" s="160" t="n"/>
      <c r="J8" s="75" t="n"/>
    </row>
    <row r="9" ht="4" customHeight="1" s="47">
      <c r="A9" s="75" t="n"/>
      <c r="B9" s="96" t="n"/>
      <c r="C9" s="98" t="n"/>
      <c r="D9" s="99" t="n"/>
      <c r="E9" s="100" t="n"/>
      <c r="F9" s="101" t="n"/>
      <c r="G9" s="102" t="n"/>
      <c r="H9" s="102" t="n"/>
      <c r="I9" s="103" t="n"/>
      <c r="J9" s="75" t="n"/>
    </row>
    <row r="10" ht="17" customHeight="1" s="47">
      <c r="A10" s="75" t="n"/>
      <c r="B10" s="187" t="inlineStr">
        <is>
          <t>DÍAS DE INVENTARIO DE LA CADENA</t>
        </is>
      </c>
      <c r="C10" s="110" t="n"/>
      <c r="D10" s="187" t="inlineStr">
        <is>
          <t>COSTO FINANCIERO DEL INVENTARIO</t>
        </is>
      </c>
      <c r="E10" s="110" t="n"/>
      <c r="F10" s="187" t="inlineStr">
        <is>
          <t>SKU–TIENDA EN QUIEBRE</t>
        </is>
      </c>
      <c r="I10" s="110" t="n"/>
      <c r="J10" s="75" t="n"/>
    </row>
    <row r="11" ht="33" customHeight="1" s="47">
      <c r="A11" s="75" t="n"/>
      <c r="B11" s="163">
        <f>IFERROR(SUM('Inventario por tienda'!$K$5:$K$304)/(SUM(Ventas!$M$5:$M$504)/Inicio!$C$22),0)</f>
        <v/>
      </c>
      <c r="C11" s="160" t="n"/>
      <c r="D11" s="159">
        <f>SUM('Inventario por tienda'!$L$5:$L$304)</f>
        <v/>
      </c>
      <c r="E11" s="160" t="n"/>
      <c r="F11" s="163">
        <f>COUNTIF('Inventario por tienda'!$N$5:$N$304,"QUIEBRE")</f>
        <v/>
      </c>
      <c r="G11" s="162" t="n"/>
      <c r="H11" s="162" t="n"/>
      <c r="I11" s="160" t="n"/>
      <c r="J11" s="75" t="n"/>
    </row>
    <row r="12" ht="3" customHeight="1" s="47">
      <c r="A12" s="75" t="n"/>
      <c r="B12" s="78" t="n"/>
      <c r="C12" s="105" t="n"/>
      <c r="D12" s="105" t="n"/>
      <c r="E12" s="105" t="n"/>
      <c r="F12" s="105" t="n"/>
      <c r="G12" s="105" t="n"/>
      <c r="H12" s="105" t="n"/>
      <c r="I12" s="79" t="n"/>
      <c r="J12" s="75" t="n"/>
    </row>
    <row r="13">
      <c r="A13" s="75" t="n"/>
      <c r="B13" s="106" t="n"/>
      <c r="C13" s="107" t="n"/>
      <c r="D13" s="107" t="n"/>
      <c r="E13" s="107" t="n"/>
      <c r="F13" s="107" t="n"/>
      <c r="G13" s="107" t="n"/>
      <c r="H13" s="107" t="n"/>
      <c r="I13" s="108" t="n"/>
      <c r="J13" s="75" t="n"/>
    </row>
    <row r="14" ht="21" customHeight="1" s="47">
      <c r="A14" s="75" t="n"/>
      <c r="B14" s="164" t="inlineStr">
        <is>
          <t>Desempeño por punto de venta</t>
        </is>
      </c>
      <c r="I14" s="110" t="n"/>
      <c r="J14" s="75" t="n"/>
    </row>
    <row r="15" ht="15" customHeight="1" s="47">
      <c r="A15" s="75" t="n"/>
      <c r="B15" s="165" t="inlineStr">
        <is>
          <t>Escriba en amarillo los códigos de tienda.</t>
        </is>
      </c>
      <c r="I15" s="110" t="n"/>
      <c r="J15" s="75" t="n"/>
    </row>
    <row r="16" ht="29" customHeight="1" s="47">
      <c r="A16" s="75" t="n"/>
      <c r="B16" s="112" t="inlineStr">
        <is>
          <t>Tienda</t>
        </is>
      </c>
      <c r="C16" s="113" t="inlineStr">
        <is>
          <t>Unidades</t>
        </is>
      </c>
      <c r="D16" s="113" t="inlineStr">
        <is>
          <t>Venta neta</t>
        </is>
      </c>
      <c r="E16" s="113" t="inlineStr">
        <is>
          <t>Margen final $</t>
        </is>
      </c>
      <c r="F16" s="113" t="inlineStr">
        <is>
          <t>Margen final %</t>
        </is>
      </c>
      <c r="G16" s="113" t="inlineStr">
        <is>
          <t>Capital en inventario</t>
        </is>
      </c>
      <c r="H16" s="113" t="inlineStr">
        <is>
          <t>Rotación del capital</t>
        </is>
      </c>
      <c r="I16" s="113" t="n"/>
      <c r="J16" s="75" t="n"/>
    </row>
    <row r="17" ht="16" customHeight="1" s="47">
      <c r="A17" s="75" t="n"/>
      <c r="B17" s="182" t="inlineStr">
        <is>
          <t>T01</t>
        </is>
      </c>
      <c r="C17" s="115">
        <f>IF($B17="","",SUMIF(Ventas!$B$5:$B$504,$B17,Ventas!$F$5:$F$504))</f>
        <v/>
      </c>
      <c r="D17" s="116">
        <f>IF($B17="","",SUMIF(Ventas!$B$5:$B$504,$B17,Ventas!$L$5:$L$504))</f>
        <v/>
      </c>
      <c r="E17" s="116">
        <f>IF($B17="","",SUMIF(Ventas!$B$5:$B$504,$B17,Ventas!$P$5:$P$504))</f>
        <v/>
      </c>
      <c r="F17" s="117">
        <f>IFERROR($E17/$D17,"")</f>
        <v/>
      </c>
      <c r="G17" s="116">
        <f>IF($B17="","",SUMIF('Inventario por tienda'!$A$5:$A$304,$B17,'Inventario por tienda'!$K$5:$K$304))</f>
        <v/>
      </c>
      <c r="H17" s="118">
        <f>IFERROR($D17/$G17,"")</f>
        <v/>
      </c>
      <c r="I17" s="119" t="n"/>
      <c r="J17" s="75" t="n"/>
    </row>
    <row r="18" ht="16" customHeight="1" s="47">
      <c r="A18" s="75" t="n"/>
      <c r="B18" s="182" t="inlineStr">
        <is>
          <t>T02</t>
        </is>
      </c>
      <c r="C18" s="121">
        <f>IF($B18="","",SUMIF(Ventas!$B$5:$B$504,$B18,Ventas!$F$5:$F$504))</f>
        <v/>
      </c>
      <c r="D18" s="122">
        <f>IF($B18="","",SUMIF(Ventas!$B$5:$B$504,$B18,Ventas!$L$5:$L$504))</f>
        <v/>
      </c>
      <c r="E18" s="122">
        <f>IF($B18="","",SUMIF(Ventas!$B$5:$B$504,$B18,Ventas!$P$5:$P$504))</f>
        <v/>
      </c>
      <c r="F18" s="123">
        <f>IFERROR($E18/$D18,"")</f>
        <v/>
      </c>
      <c r="G18" s="122">
        <f>IF($B18="","",SUMIF('Inventario por tienda'!$A$5:$A$304,$B18,'Inventario por tienda'!$K$5:$K$304))</f>
        <v/>
      </c>
      <c r="H18" s="124">
        <f>IFERROR($D18/$G18,"")</f>
        <v/>
      </c>
      <c r="I18" s="125" t="n"/>
      <c r="J18" s="75" t="n"/>
    </row>
    <row r="19" ht="16" customHeight="1" s="47">
      <c r="A19" s="75" t="n"/>
      <c r="B19" s="182" t="inlineStr">
        <is>
          <t>T03</t>
        </is>
      </c>
      <c r="C19" s="115">
        <f>IF($B19="","",SUMIF(Ventas!$B$5:$B$504,$B19,Ventas!$F$5:$F$504))</f>
        <v/>
      </c>
      <c r="D19" s="116">
        <f>IF($B19="","",SUMIF(Ventas!$B$5:$B$504,$B19,Ventas!$L$5:$L$504))</f>
        <v/>
      </c>
      <c r="E19" s="116">
        <f>IF($B19="","",SUMIF(Ventas!$B$5:$B$504,$B19,Ventas!$P$5:$P$504))</f>
        <v/>
      </c>
      <c r="F19" s="117">
        <f>IFERROR($E19/$D19,"")</f>
        <v/>
      </c>
      <c r="G19" s="116">
        <f>IF($B19="","",SUMIF('Inventario por tienda'!$A$5:$A$304,$B19,'Inventario por tienda'!$K$5:$K$304))</f>
        <v/>
      </c>
      <c r="H19" s="118">
        <f>IFERROR($D19/$G19,"")</f>
        <v/>
      </c>
      <c r="I19" s="119" t="n"/>
      <c r="J19" s="75" t="n"/>
    </row>
    <row r="20" ht="16" customHeight="1" s="47">
      <c r="A20" s="75" t="n"/>
      <c r="B20" s="182" t="inlineStr">
        <is>
          <t>T04</t>
        </is>
      </c>
      <c r="C20" s="121">
        <f>IF($B20="","",SUMIF(Ventas!$B$5:$B$504,$B20,Ventas!$F$5:$F$504))</f>
        <v/>
      </c>
      <c r="D20" s="122">
        <f>IF($B20="","",SUMIF(Ventas!$B$5:$B$504,$B20,Ventas!$L$5:$L$504))</f>
        <v/>
      </c>
      <c r="E20" s="122">
        <f>IF($B20="","",SUMIF(Ventas!$B$5:$B$504,$B20,Ventas!$P$5:$P$504))</f>
        <v/>
      </c>
      <c r="F20" s="123">
        <f>IFERROR($E20/$D20,"")</f>
        <v/>
      </c>
      <c r="G20" s="122">
        <f>IF($B20="","",SUMIF('Inventario por tienda'!$A$5:$A$304,$B20,'Inventario por tienda'!$K$5:$K$304))</f>
        <v/>
      </c>
      <c r="H20" s="124">
        <f>IFERROR($D20/$G20,"")</f>
        <v/>
      </c>
      <c r="I20" s="125" t="n"/>
      <c r="J20" s="75" t="n"/>
    </row>
    <row r="21" ht="16" customHeight="1" s="47">
      <c r="A21" s="75" t="n"/>
      <c r="B21" s="182" t="inlineStr">
        <is>
          <t>T05</t>
        </is>
      </c>
      <c r="C21" s="115">
        <f>IF($B21="","",SUMIF(Ventas!$B$5:$B$504,$B21,Ventas!$F$5:$F$504))</f>
        <v/>
      </c>
      <c r="D21" s="116">
        <f>IF($B21="","",SUMIF(Ventas!$B$5:$B$504,$B21,Ventas!$L$5:$L$504))</f>
        <v/>
      </c>
      <c r="E21" s="116">
        <f>IF($B21="","",SUMIF(Ventas!$B$5:$B$504,$B21,Ventas!$P$5:$P$504))</f>
        <v/>
      </c>
      <c r="F21" s="117">
        <f>IFERROR($E21/$D21,"")</f>
        <v/>
      </c>
      <c r="G21" s="116">
        <f>IF($B21="","",SUMIF('Inventario por tienda'!$A$5:$A$304,$B21,'Inventario por tienda'!$K$5:$K$304))</f>
        <v/>
      </c>
      <c r="H21" s="118">
        <f>IFERROR($D21/$G21,"")</f>
        <v/>
      </c>
      <c r="I21" s="119" t="n"/>
      <c r="J21" s="75" t="n"/>
    </row>
    <row r="22" ht="16" customHeight="1" s="47">
      <c r="A22" s="75" t="n"/>
      <c r="B22" s="182" t="inlineStr">
        <is>
          <t>T06</t>
        </is>
      </c>
      <c r="C22" s="121">
        <f>IF($B22="","",SUMIF(Ventas!$B$5:$B$504,$B22,Ventas!$F$5:$F$504))</f>
        <v/>
      </c>
      <c r="D22" s="122">
        <f>IF($B22="","",SUMIF(Ventas!$B$5:$B$504,$B22,Ventas!$L$5:$L$504))</f>
        <v/>
      </c>
      <c r="E22" s="122">
        <f>IF($B22="","",SUMIF(Ventas!$B$5:$B$504,$B22,Ventas!$P$5:$P$504))</f>
        <v/>
      </c>
      <c r="F22" s="123">
        <f>IFERROR($E22/$D22,"")</f>
        <v/>
      </c>
      <c r="G22" s="122">
        <f>IF($B22="","",SUMIF('Inventario por tienda'!$A$5:$A$304,$B22,'Inventario por tienda'!$K$5:$K$304))</f>
        <v/>
      </c>
      <c r="H22" s="124">
        <f>IFERROR($D22/$G22,"")</f>
        <v/>
      </c>
      <c r="I22" s="125" t="n"/>
      <c r="J22" s="75" t="n"/>
    </row>
    <row r="23" ht="16" customHeight="1" s="47">
      <c r="A23" s="75" t="n"/>
      <c r="B23" s="114" t="n"/>
      <c r="C23" s="115">
        <f>IF($B23="","",SUMIF(Ventas!$B$5:$B$504,$B23,Ventas!$F$5:$F$504))</f>
        <v/>
      </c>
      <c r="D23" s="116">
        <f>IF($B23="","",SUMIF(Ventas!$B$5:$B$504,$B23,Ventas!$L$5:$L$504))</f>
        <v/>
      </c>
      <c r="E23" s="116">
        <f>IF($B23="","",SUMIF(Ventas!$B$5:$B$504,$B23,Ventas!$P$5:$P$504))</f>
        <v/>
      </c>
      <c r="F23" s="117">
        <f>IFERROR($E23/$D23,"")</f>
        <v/>
      </c>
      <c r="G23" s="116">
        <f>IF($B23="","",SUMIF('Inventario por tienda'!$A$5:$A$304,$B23,'Inventario por tienda'!$K$5:$K$304))</f>
        <v/>
      </c>
      <c r="H23" s="118">
        <f>IFERROR($D23/$G23,"")</f>
        <v/>
      </c>
      <c r="I23" s="119" t="n"/>
      <c r="J23" s="75" t="n"/>
    </row>
    <row r="24" ht="16" customHeight="1" s="47">
      <c r="A24" s="75" t="n"/>
      <c r="B24" s="120" t="n"/>
      <c r="C24" s="121">
        <f>IF($B24="","",SUMIF(Ventas!$B$5:$B$504,$B24,Ventas!$F$5:$F$504))</f>
        <v/>
      </c>
      <c r="D24" s="122">
        <f>IF($B24="","",SUMIF(Ventas!$B$5:$B$504,$B24,Ventas!$L$5:$L$504))</f>
        <v/>
      </c>
      <c r="E24" s="122">
        <f>IF($B24="","",SUMIF(Ventas!$B$5:$B$504,$B24,Ventas!$P$5:$P$504))</f>
        <v/>
      </c>
      <c r="F24" s="123">
        <f>IFERROR($E24/$D24,"")</f>
        <v/>
      </c>
      <c r="G24" s="122">
        <f>IF($B24="","",SUMIF('Inventario por tienda'!$A$5:$A$304,$B24,'Inventario por tienda'!$K$5:$K$304))</f>
        <v/>
      </c>
      <c r="H24" s="124">
        <f>IFERROR($D24/$G24,"")</f>
        <v/>
      </c>
      <c r="I24" s="125" t="n"/>
      <c r="J24" s="75" t="n"/>
    </row>
    <row r="25" ht="16" customHeight="1" s="47">
      <c r="A25" s="75" t="n"/>
      <c r="B25" s="114" t="n"/>
      <c r="C25" s="115">
        <f>IF($B25="","",SUMIF(Ventas!$B$5:$B$504,$B25,Ventas!$F$5:$F$504))</f>
        <v/>
      </c>
      <c r="D25" s="116">
        <f>IF($B25="","",SUMIF(Ventas!$B$5:$B$504,$B25,Ventas!$L$5:$L$504))</f>
        <v/>
      </c>
      <c r="E25" s="116">
        <f>IF($B25="","",SUMIF(Ventas!$B$5:$B$504,$B25,Ventas!$P$5:$P$504))</f>
        <v/>
      </c>
      <c r="F25" s="117">
        <f>IFERROR($E25/$D25,"")</f>
        <v/>
      </c>
      <c r="G25" s="116">
        <f>IF($B25="","",SUMIF('Inventario por tienda'!$A$5:$A$304,$B25,'Inventario por tienda'!$K$5:$K$304))</f>
        <v/>
      </c>
      <c r="H25" s="118">
        <f>IFERROR($D25/$G25,"")</f>
        <v/>
      </c>
      <c r="I25" s="119" t="n"/>
      <c r="J25" s="75" t="n"/>
    </row>
    <row r="26" ht="16" customHeight="1" s="47">
      <c r="A26" s="75" t="n"/>
      <c r="B26" s="120" t="n"/>
      <c r="C26" s="121">
        <f>IF($B26="","",SUMIF(Ventas!$B$5:$B$504,$B26,Ventas!$F$5:$F$504))</f>
        <v/>
      </c>
      <c r="D26" s="122">
        <f>IF($B26="","",SUMIF(Ventas!$B$5:$B$504,$B26,Ventas!$L$5:$L$504))</f>
        <v/>
      </c>
      <c r="E26" s="122">
        <f>IF($B26="","",SUMIF(Ventas!$B$5:$B$504,$B26,Ventas!$P$5:$P$504))</f>
        <v/>
      </c>
      <c r="F26" s="123">
        <f>IFERROR($E26/$D26,"")</f>
        <v/>
      </c>
      <c r="G26" s="122">
        <f>IF($B26="","",SUMIF('Inventario por tienda'!$A$5:$A$304,$B26,'Inventario por tienda'!$K$5:$K$304))</f>
        <v/>
      </c>
      <c r="H26" s="124">
        <f>IFERROR($D26/$G26,"")</f>
        <v/>
      </c>
      <c r="I26" s="125" t="n"/>
      <c r="J26" s="75" t="n"/>
    </row>
    <row r="27" ht="16" customHeight="1" s="47">
      <c r="A27" s="75" t="n"/>
      <c r="B27" s="114" t="n"/>
      <c r="C27" s="115">
        <f>IF($B27="","",SUMIF(Ventas!$B$5:$B$504,$B27,Ventas!$F$5:$F$504))</f>
        <v/>
      </c>
      <c r="D27" s="116">
        <f>IF($B27="","",SUMIF(Ventas!$B$5:$B$504,$B27,Ventas!$L$5:$L$504))</f>
        <v/>
      </c>
      <c r="E27" s="116">
        <f>IF($B27="","",SUMIF(Ventas!$B$5:$B$504,$B27,Ventas!$P$5:$P$504))</f>
        <v/>
      </c>
      <c r="F27" s="117">
        <f>IFERROR($E27/$D27,"")</f>
        <v/>
      </c>
      <c r="G27" s="116">
        <f>IF($B27="","",SUMIF('Inventario por tienda'!$A$5:$A$304,$B27,'Inventario por tienda'!$K$5:$K$304))</f>
        <v/>
      </c>
      <c r="H27" s="118">
        <f>IFERROR($D27/$G27,"")</f>
        <v/>
      </c>
      <c r="I27" s="119" t="n"/>
      <c r="J27" s="75" t="n"/>
    </row>
    <row r="28" ht="16" customHeight="1" s="47">
      <c r="A28" s="75" t="n"/>
      <c r="B28" s="120" t="n"/>
      <c r="C28" s="121">
        <f>IF($B28="","",SUMIF(Ventas!$B$5:$B$504,$B28,Ventas!$F$5:$F$504))</f>
        <v/>
      </c>
      <c r="D28" s="122">
        <f>IF($B28="","",SUMIF(Ventas!$B$5:$B$504,$B28,Ventas!$L$5:$L$504))</f>
        <v/>
      </c>
      <c r="E28" s="122">
        <f>IF($B28="","",SUMIF(Ventas!$B$5:$B$504,$B28,Ventas!$P$5:$P$504))</f>
        <v/>
      </c>
      <c r="F28" s="123">
        <f>IFERROR($E28/$D28,"")</f>
        <v/>
      </c>
      <c r="G28" s="122">
        <f>IF($B28="","",SUMIF('Inventario por tienda'!$A$5:$A$304,$B28,'Inventario por tienda'!$K$5:$K$304))</f>
        <v/>
      </c>
      <c r="H28" s="124">
        <f>IFERROR($D28/$G28,"")</f>
        <v/>
      </c>
      <c r="I28" s="125" t="n"/>
      <c r="J28" s="75" t="n"/>
    </row>
    <row r="29" ht="32" customHeight="1" s="47">
      <c r="A29" s="75" t="n"/>
      <c r="B29" s="166" t="inlineStr">
        <is>
          <t>«Rotación del capital» = venta neta ÷ capital en inventario. Dos tiendas con la misma venta y distinta rotación no son el mismo negocio: la de menor rotación le está costando más plata para producir lo mismo.</t>
        </is>
      </c>
      <c r="I29" s="110" t="n"/>
      <c r="J29" s="75" t="n"/>
    </row>
    <row r="30" ht="3" customHeight="1" s="47">
      <c r="A30" s="75" t="n"/>
      <c r="B30" s="80" t="n"/>
      <c r="C30" s="127" t="n"/>
      <c r="D30" s="127" t="n"/>
      <c r="E30" s="127" t="n"/>
      <c r="F30" s="127" t="n"/>
      <c r="G30" s="127" t="n"/>
      <c r="H30" s="127" t="n"/>
      <c r="I30" s="81" t="n"/>
      <c r="J30" s="75" t="n"/>
    </row>
    <row r="31">
      <c r="A31" s="75" t="n"/>
      <c r="B31" s="106" t="n"/>
      <c r="C31" s="107" t="n"/>
      <c r="D31" s="107" t="n"/>
      <c r="E31" s="107" t="n"/>
      <c r="F31" s="107" t="n"/>
      <c r="G31" s="107" t="n"/>
      <c r="H31" s="107" t="n"/>
      <c r="I31" s="108" t="n"/>
      <c r="J31" s="75" t="n"/>
    </row>
    <row r="32" ht="21" customHeight="1" s="47">
      <c r="A32" s="75" t="n"/>
      <c r="B32" s="164" t="inlineStr">
        <is>
          <t>Rentabilidad por marca / fabricante</t>
        </is>
      </c>
      <c r="I32" s="110" t="n"/>
      <c r="J32" s="75" t="n"/>
    </row>
    <row r="33" ht="15" customHeight="1" s="47">
      <c r="A33" s="75" t="n"/>
      <c r="B33" s="165" t="inlineStr">
        <is>
          <t>Escriba en amarillo las marcas con las que negocia directamente.</t>
        </is>
      </c>
      <c r="I33" s="110" t="n"/>
      <c r="J33" s="75" t="n"/>
    </row>
    <row r="34" ht="29" customHeight="1" s="47">
      <c r="A34" s="75" t="n"/>
      <c r="B34" s="112" t="inlineStr">
        <is>
          <t>Marca / Fabricante</t>
        </is>
      </c>
      <c r="C34" s="113" t="inlineStr">
        <is>
          <t>Unidades</t>
        </is>
      </c>
      <c r="D34" s="113" t="inlineStr">
        <is>
          <t>Venta neta</t>
        </is>
      </c>
      <c r="E34" s="113" t="inlineStr">
        <is>
          <t>% de la venta</t>
        </is>
      </c>
      <c r="F34" s="113" t="inlineStr">
        <is>
          <t>Margen final $</t>
        </is>
      </c>
      <c r="G34" s="113" t="inlineStr">
        <is>
          <t>Margen final %</t>
        </is>
      </c>
      <c r="H34" s="113" t="inlineStr">
        <is>
          <t>Capital en inventario</t>
        </is>
      </c>
      <c r="I34" s="113" t="inlineStr">
        <is>
          <t>Rotación del capital</t>
        </is>
      </c>
      <c r="J34" s="75" t="n"/>
    </row>
    <row r="35" ht="16" customHeight="1" s="47">
      <c r="A35" s="75" t="n"/>
      <c r="B35" s="182" t="inlineStr">
        <is>
          <t>Marca A</t>
        </is>
      </c>
      <c r="C35" s="115">
        <f>IF($B35="","",SUMIF(Ventas!$E$5:$E$504,$B35,Ventas!$F$5:$F$504))</f>
        <v/>
      </c>
      <c r="D35" s="116">
        <f>IF($B35="","",SUMIF(Ventas!$E$5:$E$504,$B35,Ventas!$L$5:$L$504))</f>
        <v/>
      </c>
      <c r="E35" s="117">
        <f>IFERROR($D35/SUM(Ventas!$L$5:$L$504),"")</f>
        <v/>
      </c>
      <c r="F35" s="116">
        <f>IF($B35="","",SUMIF(Ventas!$E$5:$E$504,$B35,Ventas!$P$5:$P$504))</f>
        <v/>
      </c>
      <c r="G35" s="117">
        <f>IFERROR($F35/$D35,"")</f>
        <v/>
      </c>
      <c r="H35" s="116">
        <f>IF($B35="","",SUMIF('Inventario por tienda'!$D$5:$D$304,$B35,'Inventario por tienda'!$K$5:$K$304))</f>
        <v/>
      </c>
      <c r="I35" s="128">
        <f>IFERROR($D35/$H35,"")</f>
        <v/>
      </c>
      <c r="J35" s="75" t="n"/>
    </row>
    <row r="36" ht="16" customHeight="1" s="47">
      <c r="A36" s="75" t="n"/>
      <c r="B36" s="182" t="inlineStr">
        <is>
          <t>Marca B</t>
        </is>
      </c>
      <c r="C36" s="121">
        <f>IF($B36="","",SUMIF(Ventas!$E$5:$E$504,$B36,Ventas!$F$5:$F$504))</f>
        <v/>
      </c>
      <c r="D36" s="122">
        <f>IF($B36="","",SUMIF(Ventas!$E$5:$E$504,$B36,Ventas!$L$5:$L$504))</f>
        <v/>
      </c>
      <c r="E36" s="123">
        <f>IFERROR($D36/SUM(Ventas!$L$5:$L$504),"")</f>
        <v/>
      </c>
      <c r="F36" s="122">
        <f>IF($B36="","",SUMIF(Ventas!$E$5:$E$504,$B36,Ventas!$P$5:$P$504))</f>
        <v/>
      </c>
      <c r="G36" s="123">
        <f>IFERROR($F36/$D36,"")</f>
        <v/>
      </c>
      <c r="H36" s="122">
        <f>IF($B36="","",SUMIF('Inventario por tienda'!$D$5:$D$304,$B36,'Inventario por tienda'!$K$5:$K$304))</f>
        <v/>
      </c>
      <c r="I36" s="129">
        <f>IFERROR($D36/$H36,"")</f>
        <v/>
      </c>
      <c r="J36" s="75" t="n"/>
    </row>
    <row r="37" ht="16" customHeight="1" s="47">
      <c r="A37" s="75" t="n"/>
      <c r="B37" s="182" t="inlineStr">
        <is>
          <t>Marca C</t>
        </is>
      </c>
      <c r="C37" s="115">
        <f>IF($B37="","",SUMIF(Ventas!$E$5:$E$504,$B37,Ventas!$F$5:$F$504))</f>
        <v/>
      </c>
      <c r="D37" s="116">
        <f>IF($B37="","",SUMIF(Ventas!$E$5:$E$504,$B37,Ventas!$L$5:$L$504))</f>
        <v/>
      </c>
      <c r="E37" s="117">
        <f>IFERROR($D37/SUM(Ventas!$L$5:$L$504),"")</f>
        <v/>
      </c>
      <c r="F37" s="116">
        <f>IF($B37="","",SUMIF(Ventas!$E$5:$E$504,$B37,Ventas!$P$5:$P$504))</f>
        <v/>
      </c>
      <c r="G37" s="117">
        <f>IFERROR($F37/$D37,"")</f>
        <v/>
      </c>
      <c r="H37" s="116">
        <f>IF($B37="","",SUMIF('Inventario por tienda'!$D$5:$D$304,$B37,'Inventario por tienda'!$K$5:$K$304))</f>
        <v/>
      </c>
      <c r="I37" s="128">
        <f>IFERROR($D37/$H37,"")</f>
        <v/>
      </c>
      <c r="J37" s="75" t="n"/>
    </row>
    <row r="38" ht="16" customHeight="1" s="47">
      <c r="A38" s="75" t="n"/>
      <c r="B38" s="182" t="inlineStr">
        <is>
          <t>Marca D</t>
        </is>
      </c>
      <c r="C38" s="121">
        <f>IF($B38="","",SUMIF(Ventas!$E$5:$E$504,$B38,Ventas!$F$5:$F$504))</f>
        <v/>
      </c>
      <c r="D38" s="122">
        <f>IF($B38="","",SUMIF(Ventas!$E$5:$E$504,$B38,Ventas!$L$5:$L$504))</f>
        <v/>
      </c>
      <c r="E38" s="123">
        <f>IFERROR($D38/SUM(Ventas!$L$5:$L$504),"")</f>
        <v/>
      </c>
      <c r="F38" s="122">
        <f>IF($B38="","",SUMIF(Ventas!$E$5:$E$504,$B38,Ventas!$P$5:$P$504))</f>
        <v/>
      </c>
      <c r="G38" s="123">
        <f>IFERROR($F38/$D38,"")</f>
        <v/>
      </c>
      <c r="H38" s="122">
        <f>IF($B38="","",SUMIF('Inventario por tienda'!$D$5:$D$304,$B38,'Inventario por tienda'!$K$5:$K$304))</f>
        <v/>
      </c>
      <c r="I38" s="129">
        <f>IFERROR($D38/$H38,"")</f>
        <v/>
      </c>
      <c r="J38" s="75" t="n"/>
    </row>
    <row r="39" ht="16" customHeight="1" s="47">
      <c r="A39" s="75" t="n"/>
      <c r="B39" s="182" t="inlineStr">
        <is>
          <t>Marca E</t>
        </is>
      </c>
      <c r="C39" s="115">
        <f>IF($B39="","",SUMIF(Ventas!$E$5:$E$504,$B39,Ventas!$F$5:$F$504))</f>
        <v/>
      </c>
      <c r="D39" s="116">
        <f>IF($B39="","",SUMIF(Ventas!$E$5:$E$504,$B39,Ventas!$L$5:$L$504))</f>
        <v/>
      </c>
      <c r="E39" s="117">
        <f>IFERROR($D39/SUM(Ventas!$L$5:$L$504),"")</f>
        <v/>
      </c>
      <c r="F39" s="116">
        <f>IF($B39="","",SUMIF(Ventas!$E$5:$E$504,$B39,Ventas!$P$5:$P$504))</f>
        <v/>
      </c>
      <c r="G39" s="117">
        <f>IFERROR($F39/$D39,"")</f>
        <v/>
      </c>
      <c r="H39" s="116">
        <f>IF($B39="","",SUMIF('Inventario por tienda'!$D$5:$D$304,$B39,'Inventario por tienda'!$K$5:$K$304))</f>
        <v/>
      </c>
      <c r="I39" s="128">
        <f>IFERROR($D39/$H39,"")</f>
        <v/>
      </c>
      <c r="J39" s="75" t="n"/>
    </row>
    <row r="40" ht="16" customHeight="1" s="47">
      <c r="A40" s="75" t="n"/>
      <c r="B40" s="182" t="inlineStr">
        <is>
          <t>Marca F</t>
        </is>
      </c>
      <c r="C40" s="121">
        <f>IF($B40="","",SUMIF(Ventas!$E$5:$E$504,$B40,Ventas!$F$5:$F$504))</f>
        <v/>
      </c>
      <c r="D40" s="122">
        <f>IF($B40="","",SUMIF(Ventas!$E$5:$E$504,$B40,Ventas!$L$5:$L$504))</f>
        <v/>
      </c>
      <c r="E40" s="123">
        <f>IFERROR($D40/SUM(Ventas!$L$5:$L$504),"")</f>
        <v/>
      </c>
      <c r="F40" s="122">
        <f>IF($B40="","",SUMIF(Ventas!$E$5:$E$504,$B40,Ventas!$P$5:$P$504))</f>
        <v/>
      </c>
      <c r="G40" s="123">
        <f>IFERROR($F40/$D40,"")</f>
        <v/>
      </c>
      <c r="H40" s="122">
        <f>IF($B40="","",SUMIF('Inventario por tienda'!$D$5:$D$304,$B40,'Inventario por tienda'!$K$5:$K$304))</f>
        <v/>
      </c>
      <c r="I40" s="129">
        <f>IFERROR($D40/$H40,"")</f>
        <v/>
      </c>
      <c r="J40" s="75" t="n"/>
    </row>
    <row r="41" ht="16" customHeight="1" s="47">
      <c r="A41" s="75" t="n"/>
      <c r="B41" s="114" t="n"/>
      <c r="C41" s="115">
        <f>IF($B41="","",SUMIF(Ventas!$E$5:$E$504,$B41,Ventas!$F$5:$F$504))</f>
        <v/>
      </c>
      <c r="D41" s="116">
        <f>IF($B41="","",SUMIF(Ventas!$E$5:$E$504,$B41,Ventas!$L$5:$L$504))</f>
        <v/>
      </c>
      <c r="E41" s="117">
        <f>IFERROR($D41/SUM(Ventas!$L$5:$L$504),"")</f>
        <v/>
      </c>
      <c r="F41" s="116">
        <f>IF($B41="","",SUMIF(Ventas!$E$5:$E$504,$B41,Ventas!$P$5:$P$504))</f>
        <v/>
      </c>
      <c r="G41" s="117">
        <f>IFERROR($F41/$D41,"")</f>
        <v/>
      </c>
      <c r="H41" s="116">
        <f>IF($B41="","",SUMIF('Inventario por tienda'!$D$5:$D$304,$B41,'Inventario por tienda'!$K$5:$K$304))</f>
        <v/>
      </c>
      <c r="I41" s="128">
        <f>IFERROR($D41/$H41,"")</f>
        <v/>
      </c>
      <c r="J41" s="75" t="n"/>
    </row>
    <row r="42" ht="16" customHeight="1" s="47">
      <c r="A42" s="75" t="n"/>
      <c r="B42" s="120" t="n"/>
      <c r="C42" s="121">
        <f>IF($B42="","",SUMIF(Ventas!$E$5:$E$504,$B42,Ventas!$F$5:$F$504))</f>
        <v/>
      </c>
      <c r="D42" s="122">
        <f>IF($B42="","",SUMIF(Ventas!$E$5:$E$504,$B42,Ventas!$L$5:$L$504))</f>
        <v/>
      </c>
      <c r="E42" s="123">
        <f>IFERROR($D42/SUM(Ventas!$L$5:$L$504),"")</f>
        <v/>
      </c>
      <c r="F42" s="122">
        <f>IF($B42="","",SUMIF(Ventas!$E$5:$E$504,$B42,Ventas!$P$5:$P$504))</f>
        <v/>
      </c>
      <c r="G42" s="123">
        <f>IFERROR($F42/$D42,"")</f>
        <v/>
      </c>
      <c r="H42" s="122">
        <f>IF($B42="","",SUMIF('Inventario por tienda'!$D$5:$D$304,$B42,'Inventario por tienda'!$K$5:$K$304))</f>
        <v/>
      </c>
      <c r="I42" s="129">
        <f>IFERROR($D42/$H42,"")</f>
        <v/>
      </c>
      <c r="J42" s="75" t="n"/>
    </row>
    <row r="43" ht="16" customHeight="1" s="47">
      <c r="A43" s="75" t="n"/>
      <c r="B43" s="114" t="n"/>
      <c r="C43" s="115">
        <f>IF($B43="","",SUMIF(Ventas!$E$5:$E$504,$B43,Ventas!$F$5:$F$504))</f>
        <v/>
      </c>
      <c r="D43" s="116">
        <f>IF($B43="","",SUMIF(Ventas!$E$5:$E$504,$B43,Ventas!$L$5:$L$504))</f>
        <v/>
      </c>
      <c r="E43" s="117">
        <f>IFERROR($D43/SUM(Ventas!$L$5:$L$504),"")</f>
        <v/>
      </c>
      <c r="F43" s="116">
        <f>IF($B43="","",SUMIF(Ventas!$E$5:$E$504,$B43,Ventas!$P$5:$P$504))</f>
        <v/>
      </c>
      <c r="G43" s="117">
        <f>IFERROR($F43/$D43,"")</f>
        <v/>
      </c>
      <c r="H43" s="116">
        <f>IF($B43="","",SUMIF('Inventario por tienda'!$D$5:$D$304,$B43,'Inventario por tienda'!$K$5:$K$304))</f>
        <v/>
      </c>
      <c r="I43" s="128">
        <f>IFERROR($D43/$H43,"")</f>
        <v/>
      </c>
      <c r="J43" s="75" t="n"/>
    </row>
    <row r="44" ht="16" customHeight="1" s="47">
      <c r="A44" s="75" t="n"/>
      <c r="B44" s="120" t="n"/>
      <c r="C44" s="121">
        <f>IF($B44="","",SUMIF(Ventas!$E$5:$E$504,$B44,Ventas!$F$5:$F$504))</f>
        <v/>
      </c>
      <c r="D44" s="122">
        <f>IF($B44="","",SUMIF(Ventas!$E$5:$E$504,$B44,Ventas!$L$5:$L$504))</f>
        <v/>
      </c>
      <c r="E44" s="123">
        <f>IFERROR($D44/SUM(Ventas!$L$5:$L$504),"")</f>
        <v/>
      </c>
      <c r="F44" s="122">
        <f>IF($B44="","",SUMIF(Ventas!$E$5:$E$504,$B44,Ventas!$P$5:$P$504))</f>
        <v/>
      </c>
      <c r="G44" s="123">
        <f>IFERROR($F44/$D44,"")</f>
        <v/>
      </c>
      <c r="H44" s="122">
        <f>IF($B44="","",SUMIF('Inventario por tienda'!$D$5:$D$304,$B44,'Inventario por tienda'!$K$5:$K$304))</f>
        <v/>
      </c>
      <c r="I44" s="129">
        <f>IFERROR($D44/$H44,"")</f>
        <v/>
      </c>
      <c r="J44" s="75" t="n"/>
    </row>
    <row r="45" ht="16" customHeight="1" s="47">
      <c r="A45" s="75" t="n"/>
      <c r="B45" s="114" t="n"/>
      <c r="C45" s="115">
        <f>IF($B45="","",SUMIF(Ventas!$E$5:$E$504,$B45,Ventas!$F$5:$F$504))</f>
        <v/>
      </c>
      <c r="D45" s="116">
        <f>IF($B45="","",SUMIF(Ventas!$E$5:$E$504,$B45,Ventas!$L$5:$L$504))</f>
        <v/>
      </c>
      <c r="E45" s="117">
        <f>IFERROR($D45/SUM(Ventas!$L$5:$L$504),"")</f>
        <v/>
      </c>
      <c r="F45" s="116">
        <f>IF($B45="","",SUMIF(Ventas!$E$5:$E$504,$B45,Ventas!$P$5:$P$504))</f>
        <v/>
      </c>
      <c r="G45" s="117">
        <f>IFERROR($F45/$D45,"")</f>
        <v/>
      </c>
      <c r="H45" s="116">
        <f>IF($B45="","",SUMIF('Inventario por tienda'!$D$5:$D$304,$B45,'Inventario por tienda'!$K$5:$K$304))</f>
        <v/>
      </c>
      <c r="I45" s="128">
        <f>IFERROR($D45/$H45,"")</f>
        <v/>
      </c>
      <c r="J45" s="75" t="n"/>
    </row>
    <row r="46" ht="16" customHeight="1" s="47">
      <c r="A46" s="75" t="n"/>
      <c r="B46" s="120" t="n"/>
      <c r="C46" s="121">
        <f>IF($B46="","",SUMIF(Ventas!$E$5:$E$504,$B46,Ventas!$F$5:$F$504))</f>
        <v/>
      </c>
      <c r="D46" s="122">
        <f>IF($B46="","",SUMIF(Ventas!$E$5:$E$504,$B46,Ventas!$L$5:$L$504))</f>
        <v/>
      </c>
      <c r="E46" s="123">
        <f>IFERROR($D46/SUM(Ventas!$L$5:$L$504),"")</f>
        <v/>
      </c>
      <c r="F46" s="122">
        <f>IF($B46="","",SUMIF(Ventas!$E$5:$E$504,$B46,Ventas!$P$5:$P$504))</f>
        <v/>
      </c>
      <c r="G46" s="123">
        <f>IFERROR($F46/$D46,"")</f>
        <v/>
      </c>
      <c r="H46" s="122">
        <f>IF($B46="","",SUMIF('Inventario por tienda'!$D$5:$D$304,$B46,'Inventario por tienda'!$K$5:$K$304))</f>
        <v/>
      </c>
      <c r="I46" s="129">
        <f>IFERROR($D46/$H46,"")</f>
        <v/>
      </c>
      <c r="J46" s="75" t="n"/>
    </row>
    <row r="47" ht="32" customHeight="1" s="47">
      <c r="A47" s="75" t="n"/>
      <c r="B47" s="166" t="inlineStr">
        <is>
          <t>Esta es la tabla que usted lleva a la mesa de negociación con el fabricante: participación en su venta, margen que le devuelve y capital que le exige. Una marca con alta participación y baja rotación es una marca que le está financiando el inventario a usted, no al revés.</t>
        </is>
      </c>
      <c r="I47" s="110" t="n"/>
      <c r="J47" s="75" t="n"/>
    </row>
    <row r="48" ht="3" customHeight="1" s="47">
      <c r="A48" s="75" t="n"/>
      <c r="B48" s="82" t="n"/>
      <c r="C48" s="83" t="n"/>
      <c r="D48" s="83" t="n"/>
      <c r="E48" s="83" t="n"/>
      <c r="F48" s="83" t="n"/>
      <c r="G48" s="83" t="n"/>
      <c r="H48" s="83" t="n"/>
      <c r="I48" s="84" t="n"/>
      <c r="J48" s="75" t="n"/>
    </row>
    <row r="49">
      <c r="A49" s="75" t="n"/>
      <c r="B49" s="106" t="n"/>
      <c r="C49" s="107" t="n"/>
      <c r="D49" s="107" t="n"/>
      <c r="E49" s="107" t="n"/>
      <c r="F49" s="107" t="n"/>
      <c r="G49" s="107" t="n"/>
      <c r="H49" s="107" t="n"/>
      <c r="I49" s="108" t="n"/>
      <c r="J49" s="75" t="n"/>
    </row>
    <row r="50" ht="21" customHeight="1" s="47">
      <c r="A50" s="75" t="n"/>
      <c r="B50" s="164" t="inlineStr">
        <is>
          <t>Capital de trabajo e inventario</t>
        </is>
      </c>
      <c r="I50" s="110" t="n"/>
      <c r="J50" s="75" t="n"/>
    </row>
    <row r="51" ht="29" customHeight="1" s="47">
      <c r="A51" s="75" t="n"/>
      <c r="B51" s="112" t="inlineStr">
        <is>
          <t>Indicador</t>
        </is>
      </c>
      <c r="C51" s="113" t="inlineStr">
        <is>
          <t>Valor</t>
        </is>
      </c>
      <c r="D51" s="113" t="n"/>
      <c r="E51" s="113" t="n"/>
      <c r="F51" s="113" t="n"/>
      <c r="G51" s="113" t="n"/>
      <c r="H51" s="113" t="n"/>
      <c r="I51" s="113" t="n"/>
      <c r="J51" s="75" t="n"/>
    </row>
    <row r="52" ht="31" customHeight="1" s="47">
      <c r="A52" s="75" t="n"/>
      <c r="B52" s="130" t="inlineStr">
        <is>
          <t>Capital total inmovilizado en inventario</t>
        </is>
      </c>
      <c r="C52" s="131">
        <f>SUM('Inventario por tienda'!$K$5:$K$304)</f>
        <v/>
      </c>
      <c r="D52" s="132" t="n"/>
      <c r="E52" s="132" t="n"/>
      <c r="F52" s="132" t="n"/>
      <c r="G52" s="132" t="n"/>
      <c r="H52" s="132" t="n"/>
      <c r="I52" s="119" t="n"/>
      <c r="J52" s="75" t="n"/>
    </row>
    <row r="53" ht="31" customHeight="1" s="47">
      <c r="A53" s="75" t="n"/>
      <c r="B53" s="133" t="inlineStr">
        <is>
          <t>Costo financiero de ese inventario en el periodo</t>
        </is>
      </c>
      <c r="C53" s="134">
        <f>SUM('Inventario por tienda'!$L$5:$L$304)</f>
        <v/>
      </c>
      <c r="D53" s="135" t="n"/>
      <c r="E53" s="135" t="n"/>
      <c r="F53" s="135" t="n"/>
      <c r="G53" s="135" t="n"/>
      <c r="H53" s="135" t="n"/>
      <c r="I53" s="125" t="n"/>
      <c r="J53" s="75" t="n"/>
    </row>
    <row r="54" ht="31" customHeight="1" s="47">
      <c r="A54" s="75" t="n"/>
      <c r="B54" s="130" t="inlineStr">
        <is>
          <t>Capital en SKU–tienda con exceso de stock</t>
        </is>
      </c>
      <c r="C54" s="131">
        <f>SUMIF('Inventario por tienda'!$N$5:$N$304,"EXCESO",'Inventario por tienda'!$K$5:$K$304)</f>
        <v/>
      </c>
      <c r="D54" s="132" t="n"/>
      <c r="E54" s="132" t="n"/>
      <c r="F54" s="132" t="n"/>
      <c r="G54" s="132" t="n"/>
      <c r="H54" s="132" t="n"/>
      <c r="I54" s="119" t="n"/>
      <c r="J54" s="75" t="n"/>
    </row>
    <row r="55" ht="31" customHeight="1" s="47">
      <c r="A55" s="75" t="n"/>
      <c r="B55" s="133" t="inlineStr">
        <is>
          <t>Capital en SKU–tienda sin una sola venta</t>
        </is>
      </c>
      <c r="C55" s="134">
        <f>SUMIF('Inventario por tienda'!$N$5:$N$304,"SIN ROTACIÓN",'Inventario por tienda'!$K$5:$K$304)</f>
        <v/>
      </c>
      <c r="D55" s="135" t="n"/>
      <c r="E55" s="135" t="n"/>
      <c r="F55" s="135" t="n"/>
      <c r="G55" s="135" t="n"/>
      <c r="H55" s="135" t="n"/>
      <c r="I55" s="125" t="n"/>
      <c r="J55" s="75" t="n"/>
    </row>
    <row r="56" ht="16" customHeight="1" s="47">
      <c r="A56" s="75" t="n"/>
      <c r="B56" s="114" t="inlineStr">
        <is>
          <t>Días de inventario de la cadena</t>
        </is>
      </c>
      <c r="C56" s="115">
        <f>IFERROR(SUM('Inventario por tienda'!$K$5:$K$304)/(SUM(Ventas!$M$5:$M$504)/Inicio!$C$22),0)</f>
        <v/>
      </c>
      <c r="D56" s="132" t="n"/>
      <c r="E56" s="132" t="n"/>
      <c r="F56" s="132" t="n"/>
      <c r="G56" s="132" t="n"/>
      <c r="H56" s="132" t="n"/>
      <c r="I56" s="119" t="n"/>
      <c r="J56" s="75" t="n"/>
    </row>
    <row r="57" ht="16" customHeight="1" s="47">
      <c r="A57" s="75" t="n"/>
      <c r="B57" s="120" t="inlineStr">
        <is>
          <t>Meta de días de inventario</t>
        </is>
      </c>
      <c r="C57" s="121">
        <f>Inicio!$C$24</f>
        <v/>
      </c>
      <c r="D57" s="135" t="n"/>
      <c r="E57" s="135" t="n"/>
      <c r="F57" s="135" t="n"/>
      <c r="G57" s="135" t="n"/>
      <c r="H57" s="135" t="n"/>
      <c r="I57" s="125" t="n"/>
      <c r="J57" s="75" t="n"/>
    </row>
    <row r="58" ht="16" customHeight="1" s="47">
      <c r="A58" s="75" t="n"/>
      <c r="B58" s="114" t="inlineStr">
        <is>
          <t>Exceso sobre la meta, en días</t>
        </is>
      </c>
      <c r="C58" s="115">
        <f>IFERROR(SUM('Inventario por tienda'!$K$5:$K$304)/(SUM(Ventas!$M$5:$M$504)/Inicio!$C$22)-Inicio!$C$24,0)</f>
        <v/>
      </c>
      <c r="D58" s="132" t="n"/>
      <c r="E58" s="132" t="n"/>
      <c r="F58" s="132" t="n"/>
      <c r="G58" s="132" t="n"/>
      <c r="H58" s="132" t="n"/>
      <c r="I58" s="119" t="n"/>
      <c r="J58" s="75" t="n"/>
    </row>
    <row r="59" ht="31" customHeight="1" s="47">
      <c r="A59" s="75" t="n"/>
      <c r="B59" s="133" t="inlineStr">
        <is>
          <t>Capital liberable si se llega a la meta</t>
        </is>
      </c>
      <c r="C59" s="134">
        <f>IFERROR(MAX(0,SUM('Inventario por tienda'!$K$5:$K$304)-(SUM(Ventas!$M$5:$M$504)/Inicio!$C$22)*Inicio!$C$24),0)</f>
        <v/>
      </c>
      <c r="D59" s="135" t="n"/>
      <c r="E59" s="135" t="n"/>
      <c r="F59" s="135" t="n"/>
      <c r="G59" s="135" t="n"/>
      <c r="H59" s="135" t="n"/>
      <c r="I59" s="125" t="n"/>
      <c r="J59" s="75" t="n"/>
    </row>
    <row r="60" ht="32" customHeight="1" s="47">
      <c r="A60" s="75" t="n"/>
      <c r="B60" s="166" t="inlineStr">
        <is>
          <t>«Capital liberable» es la caja que quedaría disponible si la cadena operara con la meta de días de inventario que usted mismo fijó arriba. Es la cifra que justifica el proyecto.</t>
        </is>
      </c>
      <c r="I60" s="110" t="n"/>
      <c r="J60" s="75" t="n"/>
    </row>
    <row r="61" ht="3" customHeight="1" s="47">
      <c r="A61" s="75" t="n"/>
      <c r="B61" s="92" t="n"/>
      <c r="C61" s="136" t="n"/>
      <c r="D61" s="136" t="n"/>
      <c r="E61" s="136" t="n"/>
      <c r="F61" s="136" t="n"/>
      <c r="G61" s="136" t="n"/>
      <c r="H61" s="136" t="n"/>
      <c r="I61" s="93" t="n"/>
      <c r="J61" s="75" t="n"/>
    </row>
    <row r="62">
      <c r="A62" s="75" t="n"/>
      <c r="B62" s="106" t="n"/>
      <c r="C62" s="107" t="n"/>
      <c r="D62" s="107" t="n"/>
      <c r="E62" s="107" t="n"/>
      <c r="F62" s="107" t="n"/>
      <c r="G62" s="107" t="n"/>
      <c r="H62" s="107" t="n"/>
      <c r="I62" s="108" t="n"/>
      <c r="J62" s="75" t="n"/>
    </row>
    <row r="63" ht="21" customHeight="1" s="47">
      <c r="A63" s="75" t="n"/>
      <c r="B63" s="164" t="inlineStr">
        <is>
          <t>Precio, descuento y financiación</t>
        </is>
      </c>
      <c r="I63" s="110" t="n"/>
      <c r="J63" s="75" t="n"/>
    </row>
    <row r="64" ht="29" customHeight="1" s="47">
      <c r="A64" s="75" t="n"/>
      <c r="B64" s="112" t="inlineStr">
        <is>
          <t>Indicador</t>
        </is>
      </c>
      <c r="C64" s="113" t="inlineStr">
        <is>
          <t>Valor</t>
        </is>
      </c>
      <c r="D64" s="113" t="n"/>
      <c r="E64" s="113" t="n"/>
      <c r="F64" s="113" t="n"/>
      <c r="G64" s="113" t="n"/>
      <c r="H64" s="113" t="n"/>
      <c r="I64" s="113" t="n"/>
      <c r="J64" s="75" t="n"/>
    </row>
    <row r="65" ht="31" customHeight="1" s="47">
      <c r="A65" s="75" t="n"/>
      <c r="B65" s="130" t="inlineStr">
        <is>
          <t>Venta a precio de lista (sin descuento)</t>
        </is>
      </c>
      <c r="C65" s="131">
        <f>SUMPRODUCT(Ventas!$F$5:$F$504,Ventas!$G$5:$G$504)</f>
        <v/>
      </c>
      <c r="D65" s="132" t="n"/>
      <c r="E65" s="132" t="n"/>
      <c r="F65" s="132" t="n"/>
      <c r="G65" s="132" t="n"/>
      <c r="H65" s="132" t="n"/>
      <c r="I65" s="119" t="n"/>
      <c r="J65" s="75" t="n"/>
    </row>
    <row r="66" ht="16" customHeight="1" s="47">
      <c r="A66" s="75" t="n"/>
      <c r="B66" s="120" t="inlineStr">
        <is>
          <t>Venta neta real</t>
        </is>
      </c>
      <c r="C66" s="134">
        <f>SUM(Ventas!$L$5:$L$504)</f>
        <v/>
      </c>
      <c r="D66" s="135" t="n"/>
      <c r="E66" s="135" t="n"/>
      <c r="F66" s="135" t="n"/>
      <c r="G66" s="135" t="n"/>
      <c r="H66" s="135" t="n"/>
      <c r="I66" s="125" t="n"/>
      <c r="J66" s="75" t="n"/>
    </row>
    <row r="67" ht="16" customHeight="1" s="47">
      <c r="A67" s="75" t="n"/>
      <c r="B67" s="114" t="inlineStr">
        <is>
          <t>Margen entregado en descuentos</t>
        </is>
      </c>
      <c r="C67" s="131">
        <f>SUMPRODUCT(Ventas!$F$5:$F$504,Ventas!$G$5:$G$504)-SUM(Ventas!$L$5:$L$504)</f>
        <v/>
      </c>
      <c r="D67" s="132" t="n"/>
      <c r="E67" s="132" t="n"/>
      <c r="F67" s="132" t="n"/>
      <c r="G67" s="132" t="n"/>
      <c r="H67" s="132" t="n"/>
      <c r="I67" s="119" t="n"/>
      <c r="J67" s="75" t="n"/>
    </row>
    <row r="68" ht="16" customHeight="1" s="47">
      <c r="A68" s="75" t="n"/>
      <c r="B68" s="120" t="inlineStr">
        <is>
          <t>Descuento promedio otorgado</t>
        </is>
      </c>
      <c r="C68" s="137">
        <f>IFERROR(1-SUM(Ventas!$L$5:$L$504)/SUMPRODUCT(Ventas!$F$5:$F$504,Ventas!$G$5:$G$504),0)</f>
        <v/>
      </c>
      <c r="D68" s="135" t="n"/>
      <c r="E68" s="135" t="n"/>
      <c r="F68" s="135" t="n"/>
      <c r="G68" s="135" t="n"/>
      <c r="H68" s="135" t="n"/>
      <c r="I68" s="125" t="n"/>
      <c r="J68" s="75" t="n"/>
    </row>
    <row r="69" ht="31" customHeight="1" s="47">
      <c r="A69" s="75" t="n"/>
      <c r="B69" s="130" t="inlineStr">
        <is>
          <t>Costo total de la financiación al cliente</t>
        </is>
      </c>
      <c r="C69" s="131">
        <f>SUM(Ventas!$N$5:$N$504)</f>
        <v/>
      </c>
      <c r="D69" s="132" t="n"/>
      <c r="E69" s="132" t="n"/>
      <c r="F69" s="132" t="n"/>
      <c r="G69" s="132" t="n"/>
      <c r="H69" s="132" t="n"/>
      <c r="I69" s="119" t="n"/>
      <c r="J69" s="75" t="n"/>
    </row>
    <row r="70" ht="31" customHeight="1" s="47">
      <c r="A70" s="75" t="n"/>
      <c r="B70" s="133" t="inlineStr">
        <is>
          <t>Margen bruto menos descuentos y financiación</t>
        </is>
      </c>
      <c r="C70" s="134">
        <f>SUM(Ventas!$P$5:$P$504)</f>
        <v/>
      </c>
      <c r="D70" s="135" t="n"/>
      <c r="E70" s="135" t="n"/>
      <c r="F70" s="135" t="n"/>
      <c r="G70" s="135" t="n"/>
      <c r="H70" s="135" t="n"/>
      <c r="I70" s="125" t="n"/>
      <c r="J70" s="75" t="n"/>
    </row>
    <row r="71" ht="16" customHeight="1" s="47">
      <c r="A71" s="75" t="n"/>
      <c r="B71" s="106" t="n"/>
      <c r="C71" s="107" t="n"/>
      <c r="D71" s="107" t="n"/>
      <c r="E71" s="107" t="n"/>
      <c r="F71" s="107" t="n"/>
      <c r="G71" s="107" t="n"/>
      <c r="H71" s="107" t="n"/>
      <c r="I71" s="108" t="n"/>
      <c r="J71" s="75" t="n"/>
    </row>
    <row r="72" ht="16" customHeight="1" s="47">
      <c r="A72" s="75" t="n"/>
      <c r="B72" s="114" t="inlineStr">
        <is>
          <t>Forma de pago</t>
        </is>
      </c>
      <c r="C72" s="138" t="inlineStr">
        <is>
          <t>Unidades</t>
        </is>
      </c>
      <c r="D72" s="132" t="inlineStr">
        <is>
          <t>Venta neta</t>
        </is>
      </c>
      <c r="E72" s="132" t="inlineStr">
        <is>
          <t>% de la venta</t>
        </is>
      </c>
      <c r="F72" s="132" t="inlineStr">
        <is>
          <t>Margen final $</t>
        </is>
      </c>
      <c r="G72" s="132" t="inlineStr">
        <is>
          <t>Margen final %</t>
        </is>
      </c>
      <c r="H72" s="132" t="n"/>
      <c r="I72" s="119" t="n"/>
      <c r="J72" s="75" t="n"/>
    </row>
    <row r="73" ht="16" customHeight="1" s="47">
      <c r="A73" s="75" t="n"/>
      <c r="B73" s="120" t="inlineStr">
        <is>
          <t>Contado</t>
        </is>
      </c>
      <c r="C73" s="121">
        <f>SUMIF(Ventas!$J$5:$J$504,"Contado",Ventas!$F$5:$F$504)</f>
        <v/>
      </c>
      <c r="D73" s="122">
        <f>SUMIF(Ventas!$J$5:$J$504,"Contado",Ventas!$L$5:$L$504)</f>
        <v/>
      </c>
      <c r="E73" s="123">
        <f>IFERROR($D73/SUM(Ventas!$L$5:$L$504),"")</f>
        <v/>
      </c>
      <c r="F73" s="122">
        <f>SUMIF(Ventas!$J$5:$J$504,"Contado",Ventas!$P$5:$P$504)</f>
        <v/>
      </c>
      <c r="G73" s="123">
        <f>IFERROR($F73/$D73,"")</f>
        <v/>
      </c>
      <c r="H73" s="135" t="n"/>
      <c r="I73" s="125" t="n"/>
      <c r="J73" s="75" t="n"/>
    </row>
    <row r="74" ht="16" customHeight="1" s="47">
      <c r="A74" s="75" t="n"/>
      <c r="B74" s="114" t="inlineStr">
        <is>
          <t>Tarjeta</t>
        </is>
      </c>
      <c r="C74" s="115">
        <f>SUMIF(Ventas!$J$5:$J$504,"Tarjeta",Ventas!$F$5:$F$504)</f>
        <v/>
      </c>
      <c r="D74" s="116">
        <f>SUMIF(Ventas!$J$5:$J$504,"Tarjeta",Ventas!$L$5:$L$504)</f>
        <v/>
      </c>
      <c r="E74" s="117">
        <f>IFERROR($D74/SUM(Ventas!$L$5:$L$504),"")</f>
        <v/>
      </c>
      <c r="F74" s="116">
        <f>SUMIF(Ventas!$J$5:$J$504,"Tarjeta",Ventas!$P$5:$P$504)</f>
        <v/>
      </c>
      <c r="G74" s="117">
        <f>IFERROR($F74/$D74,"")</f>
        <v/>
      </c>
      <c r="H74" s="132" t="n"/>
      <c r="I74" s="119" t="n"/>
      <c r="J74" s="75" t="n"/>
    </row>
    <row r="75" ht="16" customHeight="1" s="47">
      <c r="A75" s="75" t="n"/>
      <c r="B75" s="120" t="inlineStr">
        <is>
          <t>Crédito propio</t>
        </is>
      </c>
      <c r="C75" s="121">
        <f>SUMIF(Ventas!$J$5:$J$504,"Crédito propio",Ventas!$F$5:$F$504)</f>
        <v/>
      </c>
      <c r="D75" s="122">
        <f>SUMIF(Ventas!$J$5:$J$504,"Crédito propio",Ventas!$L$5:$L$504)</f>
        <v/>
      </c>
      <c r="E75" s="123">
        <f>IFERROR($D75/SUM(Ventas!$L$5:$L$504),"")</f>
        <v/>
      </c>
      <c r="F75" s="122">
        <f>SUMIF(Ventas!$J$5:$J$504,"Crédito propio",Ventas!$P$5:$P$504)</f>
        <v/>
      </c>
      <c r="G75" s="123">
        <f>IFERROR($F75/$D75,"")</f>
        <v/>
      </c>
      <c r="H75" s="135" t="n"/>
      <c r="I75" s="125" t="n"/>
      <c r="J75" s="75" t="n"/>
    </row>
    <row r="76" ht="32" customHeight="1" s="47">
      <c r="A76" s="75" t="n"/>
      <c r="B76" s="166" t="inlineStr">
        <is>
          <t>Si el margen final de «Crédito propio» es más bajo que el de contado, usted está subsidiando la venta con su propia caja. Eso no está mal por sí solo, pero tiene que ser una decisión, no un accidente.</t>
        </is>
      </c>
      <c r="I76" s="110" t="n"/>
      <c r="J76" s="75" t="n"/>
    </row>
    <row r="77" ht="3" customHeight="1" s="47">
      <c r="A77" s="75" t="n"/>
      <c r="B77" s="94" t="n"/>
      <c r="C77" s="139" t="n"/>
      <c r="D77" s="139" t="n"/>
      <c r="E77" s="139" t="n"/>
      <c r="F77" s="139" t="n"/>
      <c r="G77" s="139" t="n"/>
      <c r="H77" s="139" t="n"/>
      <c r="I77" s="95" t="n"/>
      <c r="J77" s="75" t="n"/>
    </row>
    <row r="78">
      <c r="A78" s="75" t="n"/>
      <c r="B78" s="106" t="n"/>
      <c r="C78" s="107" t="n"/>
      <c r="D78" s="107" t="n"/>
      <c r="E78" s="107" t="n"/>
      <c r="F78" s="107" t="n"/>
      <c r="G78" s="107" t="n"/>
      <c r="H78" s="107" t="n"/>
      <c r="I78" s="108" t="n"/>
      <c r="J78" s="75" t="n"/>
    </row>
    <row r="79" ht="21" customHeight="1" s="47">
      <c r="A79" s="75" t="n"/>
      <c r="B79" s="164" t="inlineStr">
        <is>
          <t>Estado del inventario y traslados</t>
        </is>
      </c>
      <c r="I79" s="110" t="n"/>
      <c r="J79" s="75" t="n"/>
    </row>
    <row r="80" ht="29" customHeight="1" s="47">
      <c r="A80" s="75" t="n"/>
      <c r="B80" s="112" t="inlineStr">
        <is>
          <t>Estado</t>
        </is>
      </c>
      <c r="C80" s="113" t="inlineStr">
        <is>
          <t>Nº de SKU–tienda</t>
        </is>
      </c>
      <c r="D80" s="113" t="inlineStr">
        <is>
          <t>Capital comprometido</t>
        </is>
      </c>
      <c r="E80" s="113" t="inlineStr">
        <is>
          <t>Qué hacer</t>
        </is>
      </c>
      <c r="F80" s="113" t="n"/>
      <c r="G80" s="113" t="n"/>
      <c r="H80" s="113" t="n"/>
      <c r="I80" s="113" t="n"/>
      <c r="J80" s="75" t="n"/>
    </row>
    <row r="81" ht="44" customHeight="1" s="47">
      <c r="A81" s="75" t="n"/>
      <c r="B81" s="114" t="inlineStr">
        <is>
          <t>QUIEBRE</t>
        </is>
      </c>
      <c r="C81" s="115">
        <f>COUNTIF('Inventario por tienda'!$N$5:$N$304,"QUIEBRE")</f>
        <v/>
      </c>
      <c r="D81" s="116">
        <f>SUMIF('Inventario por tienda'!$N$5:$N$304,"QUIEBRE",'Inventario por tienda'!$K$5:$K$304)</f>
        <v/>
      </c>
      <c r="E81" s="140" t="inlineStr">
        <is>
          <t>Sin stock y con demanda comprobada. Venta perdida que ni siquiera aparece en el informe: revise primero si otra tienda la tiene.</t>
        </is>
      </c>
      <c r="F81" s="132" t="n"/>
      <c r="G81" s="132" t="n"/>
      <c r="H81" s="132" t="n"/>
      <c r="I81" s="119" t="n"/>
      <c r="J81" s="75" t="n"/>
    </row>
    <row r="82" ht="44" customHeight="1" s="47">
      <c r="A82" s="75" t="n"/>
      <c r="B82" s="120" t="inlineStr">
        <is>
          <t>RIESGO DE QUIEBRE</t>
        </is>
      </c>
      <c r="C82" s="121">
        <f>COUNTIF('Inventario por tienda'!$N$5:$N$304,"RIESGO DE QUIEBRE")</f>
        <v/>
      </c>
      <c r="D82" s="122">
        <f>SUMIF('Inventario por tienda'!$N$5:$N$304,"RIESGO DE QUIEBRE",'Inventario por tienda'!$K$5:$K$304)</f>
        <v/>
      </c>
      <c r="E82" s="141" t="inlineStr">
        <is>
          <t>El stock no alcanza a cubrir el plazo de entrega del fabricante. Si no se pide ahora, se agota antes de que llegue el pedido.</t>
        </is>
      </c>
      <c r="F82" s="135" t="n"/>
      <c r="G82" s="135" t="n"/>
      <c r="H82" s="135" t="n"/>
      <c r="I82" s="125" t="n"/>
      <c r="J82" s="75" t="n"/>
    </row>
    <row r="83" ht="44" customHeight="1" s="47">
      <c r="A83" s="75" t="n"/>
      <c r="B83" s="114" t="inlineStr">
        <is>
          <t>SANO</t>
        </is>
      </c>
      <c r="C83" s="115">
        <f>COUNTIF('Inventario por tienda'!$N$5:$N$304,"SANO")</f>
        <v/>
      </c>
      <c r="D83" s="116">
        <f>SUMIF('Inventario por tienda'!$N$5:$N$304,"SANO",'Inventario por tienda'!$K$5:$K$304)</f>
        <v/>
      </c>
      <c r="E83" s="140" t="inlineStr">
        <is>
          <t>Cobertura dentro de la meta. No requiere acción.</t>
        </is>
      </c>
      <c r="F83" s="132" t="n"/>
      <c r="G83" s="132" t="n"/>
      <c r="H83" s="132" t="n"/>
      <c r="I83" s="119" t="n"/>
      <c r="J83" s="75" t="n"/>
    </row>
    <row r="84" ht="44" customHeight="1" s="47">
      <c r="A84" s="75" t="n"/>
      <c r="B84" s="120" t="inlineStr">
        <is>
          <t>EXCESO</t>
        </is>
      </c>
      <c r="C84" s="121">
        <f>COUNTIF('Inventario por tienda'!$N$5:$N$304,"EXCESO")</f>
        <v/>
      </c>
      <c r="D84" s="122">
        <f>SUMIF('Inventario por tienda'!$N$5:$N$304,"EXCESO",'Inventario por tienda'!$K$5:$K$304)</f>
        <v/>
      </c>
      <c r="E84" s="141" t="inlineStr">
        <is>
          <t>Más de una vez y media la meta de días de inventario. Capital quieto: traslade, promocione o suspenda la compra.</t>
        </is>
      </c>
      <c r="F84" s="135" t="n"/>
      <c r="G84" s="135" t="n"/>
      <c r="H84" s="135" t="n"/>
      <c r="I84" s="125" t="n"/>
      <c r="J84" s="75" t="n"/>
    </row>
    <row r="85" ht="44" customHeight="1" s="47">
      <c r="A85" s="75" t="n"/>
      <c r="B85" s="114" t="inlineStr">
        <is>
          <t>SIN ROTACIÓN</t>
        </is>
      </c>
      <c r="C85" s="115">
        <f>COUNTIF('Inventario por tienda'!$N$5:$N$304,"SIN ROTACIÓN")</f>
        <v/>
      </c>
      <c r="D85" s="116">
        <f>SUMIF('Inventario por tienda'!$N$5:$N$304,"SIN ROTACIÓN",'Inventario por tienda'!$K$5:$K$304)</f>
        <v/>
      </c>
      <c r="E85" s="140" t="inlineStr">
        <is>
          <t>Stock sin una sola venta en el periodo. Candidato a liquidación o devolución al fabricante si el acuerdo lo permite.</t>
        </is>
      </c>
      <c r="F85" s="132" t="n"/>
      <c r="G85" s="132" t="n"/>
      <c r="H85" s="132" t="n"/>
      <c r="I85" s="119" t="n"/>
      <c r="J85" s="75" t="n"/>
    </row>
    <row r="86" ht="16" customHeight="1" s="47">
      <c r="A86" s="75" t="n"/>
      <c r="B86" s="106" t="n"/>
      <c r="C86" s="107" t="n"/>
      <c r="D86" s="107" t="n"/>
      <c r="E86" s="107" t="n"/>
      <c r="F86" s="107" t="n"/>
      <c r="G86" s="107" t="n"/>
      <c r="H86" s="107" t="n"/>
      <c r="I86" s="108" t="n"/>
      <c r="J86" s="75" t="n"/>
    </row>
    <row r="87" ht="16" customHeight="1" s="47">
      <c r="A87" s="75" t="n"/>
      <c r="B87" s="120" t="inlineStr">
        <is>
          <t>Traslados sugeridos</t>
        </is>
      </c>
      <c r="C87" s="142" t="inlineStr">
        <is>
          <t>Nº de casos</t>
        </is>
      </c>
      <c r="D87" s="135" t="n"/>
      <c r="E87" s="135" t="n"/>
      <c r="F87" s="135" t="n"/>
      <c r="G87" s="135" t="n"/>
      <c r="H87" s="135" t="n"/>
      <c r="I87" s="125" t="n"/>
      <c r="J87" s="75" t="n"/>
    </row>
    <row r="88" ht="44" customHeight="1" s="47">
      <c r="A88" s="75" t="n"/>
      <c r="B88" s="130" t="inlineStr">
        <is>
          <t>Combinaciones SKU–tienda con stock para enviar a otra tienda</t>
        </is>
      </c>
      <c r="C88" s="115">
        <f>COUNTIF('Inventario por tienda'!$O$5:$O$304,"ENVIAR a otra tienda")</f>
        <v/>
      </c>
      <c r="D88" s="132" t="n"/>
      <c r="E88" s="132" t="n"/>
      <c r="F88" s="132" t="n"/>
      <c r="G88" s="132" t="n"/>
      <c r="H88" s="132" t="n"/>
      <c r="I88" s="119" t="n"/>
      <c r="J88" s="75" t="n"/>
    </row>
    <row r="89" ht="31" customHeight="1" s="47">
      <c r="A89" s="75" t="n"/>
      <c r="B89" s="133" t="inlineStr">
        <is>
          <t>Combinaciones SKU–tienda que deberían pedir traslado</t>
        </is>
      </c>
      <c r="C89" s="121">
        <f>COUNTIF('Inventario por tienda'!$O$5:$O$304,"PEDIR traslado")</f>
        <v/>
      </c>
      <c r="D89" s="135" t="n"/>
      <c r="E89" s="135" t="n"/>
      <c r="F89" s="135" t="n"/>
      <c r="G89" s="135" t="n"/>
      <c r="H89" s="135" t="n"/>
      <c r="I89" s="125" t="n"/>
      <c r="J89" s="75" t="n"/>
    </row>
    <row r="90" ht="3" customHeight="1" s="47">
      <c r="A90" s="75" t="n"/>
      <c r="B90" s="96" t="n"/>
      <c r="C90" s="97" t="n"/>
      <c r="D90" s="97" t="n"/>
      <c r="E90" s="97" t="n"/>
      <c r="F90" s="97" t="n"/>
      <c r="G90" s="97" t="n"/>
      <c r="H90" s="97" t="n"/>
      <c r="I90" s="98" t="n"/>
      <c r="J90" s="75" t="n"/>
    </row>
    <row r="91">
      <c r="A91" s="75" t="n"/>
      <c r="B91" s="106" t="n"/>
      <c r="C91" s="107" t="n"/>
      <c r="D91" s="107" t="n"/>
      <c r="E91" s="107" t="n"/>
      <c r="F91" s="107" t="n"/>
      <c r="G91" s="107" t="n"/>
      <c r="H91" s="107" t="n"/>
      <c r="I91" s="108" t="n"/>
      <c r="J91" s="75" t="n"/>
    </row>
    <row r="92" ht="21" customHeight="1" s="47">
      <c r="A92" s="75" t="n"/>
      <c r="B92" s="164" t="inlineStr">
        <is>
          <t>Lo que este Excel NO puede hacer por usted →  ver hoja «Servicios ADIMCLO»</t>
        </is>
      </c>
      <c r="I92" s="110" t="n"/>
      <c r="J92" s="75" t="n"/>
    </row>
    <row r="93" ht="16" customHeight="1" s="47">
      <c r="A93" s="75" t="n"/>
      <c r="B93" s="167" t="inlineStr">
        <is>
          <t>· Consolidar solo la información de todas sus tiendas: acá alguien tiene que digitar o exportar y pegar cada semana.</t>
        </is>
      </c>
      <c r="I93" s="110" t="n"/>
      <c r="J93" s="75" t="n"/>
    </row>
    <row r="94" ht="16" customHeight="1" s="47">
      <c r="A94" s="75" t="n"/>
      <c r="B94" s="167" t="inlineStr">
        <is>
          <t>· Proyectar la demanda por SKU y por tienda para armar la orden al fabricante con seis semanas de anticipación.</t>
        </is>
      </c>
      <c r="I94" s="110" t="n"/>
      <c r="J94" s="75" t="n"/>
    </row>
    <row r="95" ht="16" customHeight="1" s="47">
      <c r="A95" s="75" t="n"/>
      <c r="B95" s="167" t="inlineStr">
        <is>
          <t>· Calcular el traslado óptimo entre tiendas considerando el costo del flete y el tiempo de tránsito.</t>
        </is>
      </c>
      <c r="I95" s="110" t="n"/>
      <c r="J95" s="75" t="n"/>
    </row>
    <row r="96" ht="16" customHeight="1" s="47">
      <c r="A96" s="75" t="n"/>
      <c r="B96" s="167" t="inlineStr">
        <is>
          <t>· Simular el efecto en utilidad y en caja de un cambio de precio, de rebate o de política de financiación.</t>
        </is>
      </c>
      <c r="I96" s="110" t="n"/>
      <c r="J96" s="75" t="n"/>
    </row>
    <row r="97" ht="16" customHeight="1" s="47">
      <c r="A97" s="75" t="n"/>
      <c r="B97" s="167" t="inlineStr">
        <is>
          <t>· Cruzar la venta con el cumplimiento del fabricante, las devoluciones por garantía y el servicio técnico.</t>
        </is>
      </c>
      <c r="I97" s="110" t="n"/>
      <c r="J97" s="75" t="n"/>
    </row>
    <row r="98" ht="16" customHeight="1" s="47">
      <c r="A98" s="75" t="n"/>
      <c r="B98" s="167" t="inlineStr">
        <is>
          <t>· Sostener el ritmo cuando el volumen crece: un Excel compartido entre varias tiendas se corrompe, se duplica y se desactualiza.</t>
        </is>
      </c>
      <c r="I98" s="110" t="n"/>
      <c r="J98" s="75" t="n"/>
    </row>
    <row r="99" ht="7" customHeight="1" s="47">
      <c r="A99" s="75" t="n"/>
      <c r="B99" s="144" t="n"/>
      <c r="C99" s="145" t="n"/>
      <c r="D99" s="145" t="n"/>
      <c r="E99" s="145" t="n"/>
      <c r="F99" s="145" t="n"/>
      <c r="G99" s="145" t="n"/>
      <c r="H99" s="145" t="n"/>
      <c r="I99" s="146" t="n"/>
      <c r="J99" s="75" t="n"/>
    </row>
    <row r="100" ht="3" customHeight="1" s="47">
      <c r="A100" s="75" t="n"/>
      <c r="B100" s="78" t="n"/>
      <c r="C100" s="105" t="n"/>
      <c r="D100" s="105" t="n"/>
      <c r="E100" s="105" t="n"/>
      <c r="F100" s="105" t="n"/>
      <c r="G100" s="105" t="n"/>
      <c r="H100" s="105" t="n"/>
      <c r="I100" s="79" t="n"/>
      <c r="J100" s="75" t="n"/>
    </row>
    <row r="101" ht="21" customHeight="1" s="47">
      <c r="A101" s="75" t="n"/>
      <c r="B101" s="164" t="inlineStr">
        <is>
          <t>Venta por punto de venta</t>
        </is>
      </c>
      <c r="I101" s="110" t="n"/>
      <c r="J101" s="75" t="n"/>
    </row>
    <row r="102" ht="14" customHeight="1" s="47">
      <c r="A102" s="75" t="n"/>
      <c r="B102" s="165" t="inlineStr"/>
      <c r="I102" s="110" t="n"/>
      <c r="J102" s="75" t="n"/>
    </row>
    <row r="103">
      <c r="A103" s="75" t="n"/>
      <c r="B103" s="106" t="n"/>
      <c r="C103" s="107" t="n"/>
      <c r="D103" s="107" t="n"/>
      <c r="E103" s="107" t="n"/>
      <c r="F103" s="107" t="n"/>
      <c r="G103" s="107" t="n"/>
      <c r="H103" s="107" t="n"/>
      <c r="I103" s="108" t="n"/>
      <c r="J103" s="75" t="n"/>
    </row>
    <row r="104">
      <c r="A104" s="75" t="n"/>
      <c r="B104" s="106" t="n"/>
      <c r="C104" s="107" t="n"/>
      <c r="D104" s="107" t="n"/>
      <c r="E104" s="107" t="n"/>
      <c r="F104" s="107" t="n"/>
      <c r="G104" s="107" t="n"/>
      <c r="H104" s="107" t="n"/>
      <c r="I104" s="108" t="n"/>
      <c r="J104" s="75" t="n"/>
    </row>
    <row r="105">
      <c r="A105" s="75" t="n"/>
      <c r="B105" s="106" t="n"/>
      <c r="C105" s="107" t="n"/>
      <c r="D105" s="107" t="n"/>
      <c r="E105" s="107" t="n"/>
      <c r="F105" s="107" t="n"/>
      <c r="G105" s="107" t="n"/>
      <c r="H105" s="107" t="n"/>
      <c r="I105" s="108" t="n"/>
      <c r="J105" s="75" t="n"/>
    </row>
    <row r="106">
      <c r="A106" s="75" t="n"/>
      <c r="B106" s="106" t="n"/>
      <c r="C106" s="107" t="n"/>
      <c r="D106" s="107" t="n"/>
      <c r="E106" s="107" t="n"/>
      <c r="F106" s="107" t="n"/>
      <c r="G106" s="107" t="n"/>
      <c r="H106" s="107" t="n"/>
      <c r="I106" s="108" t="n"/>
      <c r="J106" s="75" t="n"/>
    </row>
    <row r="107">
      <c r="A107" s="75" t="n"/>
      <c r="B107" s="106" t="n"/>
      <c r="C107" s="107" t="n"/>
      <c r="D107" s="107" t="n"/>
      <c r="E107" s="107" t="n"/>
      <c r="F107" s="107" t="n"/>
      <c r="G107" s="107" t="n"/>
      <c r="H107" s="107" t="n"/>
      <c r="I107" s="108" t="n"/>
      <c r="J107" s="75" t="n"/>
    </row>
    <row r="108">
      <c r="A108" s="75" t="n"/>
      <c r="B108" s="106" t="n"/>
      <c r="C108" s="107" t="n"/>
      <c r="D108" s="107" t="n"/>
      <c r="E108" s="107" t="n"/>
      <c r="F108" s="107" t="n"/>
      <c r="G108" s="107" t="n"/>
      <c r="H108" s="107" t="n"/>
      <c r="I108" s="108" t="n"/>
      <c r="J108" s="75" t="n"/>
    </row>
    <row r="109">
      <c r="A109" s="75" t="n"/>
      <c r="B109" s="106" t="n"/>
      <c r="C109" s="107" t="n"/>
      <c r="D109" s="107" t="n"/>
      <c r="E109" s="107" t="n"/>
      <c r="F109" s="107" t="n"/>
      <c r="G109" s="107" t="n"/>
      <c r="H109" s="107" t="n"/>
      <c r="I109" s="108" t="n"/>
      <c r="J109" s="75" t="n"/>
    </row>
    <row r="110">
      <c r="A110" s="75" t="n"/>
      <c r="B110" s="106" t="n"/>
      <c r="C110" s="107" t="n"/>
      <c r="D110" s="107" t="n"/>
      <c r="E110" s="107" t="n"/>
      <c r="F110" s="107" t="n"/>
      <c r="G110" s="107" t="n"/>
      <c r="H110" s="107" t="n"/>
      <c r="I110" s="108" t="n"/>
      <c r="J110" s="75" t="n"/>
    </row>
    <row r="111">
      <c r="A111" s="75" t="n"/>
      <c r="B111" s="106" t="n"/>
      <c r="C111" s="107" t="n"/>
      <c r="D111" s="107" t="n"/>
      <c r="E111" s="107" t="n"/>
      <c r="F111" s="107" t="n"/>
      <c r="G111" s="107" t="n"/>
      <c r="H111" s="107" t="n"/>
      <c r="I111" s="108" t="n"/>
      <c r="J111" s="75" t="n"/>
    </row>
    <row r="112">
      <c r="A112" s="75" t="n"/>
      <c r="B112" s="106" t="n"/>
      <c r="C112" s="107" t="n"/>
      <c r="D112" s="107" t="n"/>
      <c r="E112" s="107" t="n"/>
      <c r="F112" s="107" t="n"/>
      <c r="G112" s="107" t="n"/>
      <c r="H112" s="107" t="n"/>
      <c r="I112" s="108" t="n"/>
      <c r="J112" s="75" t="n"/>
    </row>
    <row r="113">
      <c r="A113" s="75" t="n"/>
      <c r="B113" s="106" t="n"/>
      <c r="C113" s="107" t="n"/>
      <c r="D113" s="107" t="n"/>
      <c r="E113" s="107" t="n"/>
      <c r="F113" s="107" t="n"/>
      <c r="G113" s="107" t="n"/>
      <c r="H113" s="107" t="n"/>
      <c r="I113" s="108" t="n"/>
      <c r="J113" s="75" t="n"/>
    </row>
    <row r="114">
      <c r="A114" s="75" t="n"/>
      <c r="B114" s="106" t="n"/>
      <c r="C114" s="107" t="n"/>
      <c r="D114" s="107" t="n"/>
      <c r="E114" s="107" t="n"/>
      <c r="F114" s="107" t="n"/>
      <c r="G114" s="107" t="n"/>
      <c r="H114" s="107" t="n"/>
      <c r="I114" s="108" t="n"/>
      <c r="J114" s="75" t="n"/>
    </row>
    <row r="115">
      <c r="A115" s="75" t="n"/>
      <c r="B115" s="106" t="n"/>
      <c r="C115" s="107" t="n"/>
      <c r="D115" s="107" t="n"/>
      <c r="E115" s="107" t="n"/>
      <c r="F115" s="107" t="n"/>
      <c r="G115" s="107" t="n"/>
      <c r="H115" s="107" t="n"/>
      <c r="I115" s="108" t="n"/>
      <c r="J115" s="75" t="n"/>
    </row>
    <row r="116">
      <c r="A116" s="75" t="n"/>
      <c r="B116" s="106" t="n"/>
      <c r="C116" s="107" t="n"/>
      <c r="D116" s="107" t="n"/>
      <c r="E116" s="107" t="n"/>
      <c r="F116" s="107" t="n"/>
      <c r="G116" s="107" t="n"/>
      <c r="H116" s="107" t="n"/>
      <c r="I116" s="108" t="n"/>
      <c r="J116" s="75" t="n"/>
    </row>
    <row r="117">
      <c r="A117" s="75" t="n"/>
      <c r="B117" s="106" t="n"/>
      <c r="C117" s="107" t="n"/>
      <c r="D117" s="107" t="n"/>
      <c r="E117" s="107" t="n"/>
      <c r="F117" s="107" t="n"/>
      <c r="G117" s="107" t="n"/>
      <c r="H117" s="107" t="n"/>
      <c r="I117" s="108" t="n"/>
      <c r="J117" s="75" t="n"/>
    </row>
    <row r="118">
      <c r="A118" s="75" t="n"/>
      <c r="B118" s="106" t="n"/>
      <c r="C118" s="107" t="n"/>
      <c r="D118" s="107" t="n"/>
      <c r="E118" s="107" t="n"/>
      <c r="F118" s="107" t="n"/>
      <c r="G118" s="107" t="n"/>
      <c r="H118" s="107" t="n"/>
      <c r="I118" s="108" t="n"/>
      <c r="J118" s="75" t="n"/>
    </row>
    <row r="119">
      <c r="A119" s="75" t="n"/>
      <c r="B119" s="106" t="n"/>
      <c r="C119" s="107" t="n"/>
      <c r="D119" s="107" t="n"/>
      <c r="E119" s="107" t="n"/>
      <c r="F119" s="107" t="n"/>
      <c r="G119" s="107" t="n"/>
      <c r="H119" s="107" t="n"/>
      <c r="I119" s="108" t="n"/>
      <c r="J119" s="75" t="n"/>
    </row>
    <row r="120">
      <c r="A120" s="75" t="n"/>
      <c r="B120" s="106" t="n"/>
      <c r="C120" s="107" t="n"/>
      <c r="D120" s="107" t="n"/>
      <c r="E120" s="107" t="n"/>
      <c r="F120" s="107" t="n"/>
      <c r="G120" s="107" t="n"/>
      <c r="H120" s="107" t="n"/>
      <c r="I120" s="108" t="n"/>
      <c r="J120" s="75" t="n"/>
    </row>
    <row r="121">
      <c r="A121" s="75" t="n"/>
      <c r="B121" s="106" t="n"/>
      <c r="C121" s="107" t="n"/>
      <c r="D121" s="107" t="n"/>
      <c r="E121" s="107" t="n"/>
      <c r="F121" s="107" t="n"/>
      <c r="G121" s="107" t="n"/>
      <c r="H121" s="107" t="n"/>
      <c r="I121" s="108" t="n"/>
      <c r="J121" s="75" t="n"/>
    </row>
    <row r="122">
      <c r="A122" s="75" t="n"/>
      <c r="B122" s="106" t="n"/>
      <c r="C122" s="107" t="n"/>
      <c r="D122" s="107" t="n"/>
      <c r="E122" s="107" t="n"/>
      <c r="F122" s="107" t="n"/>
      <c r="G122" s="107" t="n"/>
      <c r="H122" s="107" t="n"/>
      <c r="I122" s="108" t="n"/>
      <c r="J122" s="75" t="n"/>
    </row>
    <row r="123">
      <c r="A123" s="75" t="n"/>
      <c r="B123" s="106" t="n"/>
      <c r="C123" s="107" t="n"/>
      <c r="D123" s="107" t="n"/>
      <c r="E123" s="107" t="n"/>
      <c r="F123" s="107" t="n"/>
      <c r="G123" s="107" t="n"/>
      <c r="H123" s="107" t="n"/>
      <c r="I123" s="108" t="n"/>
      <c r="J123" s="75" t="n"/>
    </row>
    <row r="124">
      <c r="A124" s="75" t="n"/>
      <c r="B124" s="106" t="n"/>
      <c r="C124" s="107" t="n"/>
      <c r="D124" s="107" t="n"/>
      <c r="E124" s="107" t="n"/>
      <c r="F124" s="107" t="n"/>
      <c r="G124" s="107" t="n"/>
      <c r="H124" s="107" t="n"/>
      <c r="I124" s="108" t="n"/>
      <c r="J124" s="75" t="n"/>
    </row>
    <row r="125">
      <c r="A125" s="75" t="n"/>
      <c r="B125" s="106" t="n"/>
      <c r="C125" s="107" t="n"/>
      <c r="D125" s="107" t="n"/>
      <c r="E125" s="107" t="n"/>
      <c r="F125" s="107" t="n"/>
      <c r="G125" s="107" t="n"/>
      <c r="H125" s="107" t="n"/>
      <c r="I125" s="108" t="n"/>
      <c r="J125" s="75" t="n"/>
    </row>
    <row r="126">
      <c r="A126" s="75" t="n"/>
      <c r="B126" s="144" t="n"/>
      <c r="C126" s="145" t="n"/>
      <c r="D126" s="145" t="n"/>
      <c r="E126" s="145" t="n"/>
      <c r="F126" s="145" t="n"/>
      <c r="G126" s="145" t="n"/>
      <c r="H126" s="145" t="n"/>
      <c r="I126" s="146" t="n"/>
      <c r="J126" s="75" t="n"/>
    </row>
    <row r="127">
      <c r="A127" s="75" t="n"/>
      <c r="B127" s="75" t="n"/>
      <c r="C127" s="75" t="n"/>
      <c r="D127" s="75" t="n"/>
      <c r="E127" s="75" t="n"/>
      <c r="F127" s="75" t="n"/>
      <c r="G127" s="75" t="n"/>
      <c r="H127" s="75" t="n"/>
      <c r="I127" s="75" t="n"/>
      <c r="J127" s="75" t="n"/>
    </row>
    <row r="128" ht="3" customHeight="1" s="47">
      <c r="A128" s="75" t="n"/>
      <c r="B128" s="80" t="n"/>
      <c r="C128" s="127" t="n"/>
      <c r="D128" s="127" t="n"/>
      <c r="E128" s="127" t="n"/>
      <c r="F128" s="127" t="n"/>
      <c r="G128" s="127" t="n"/>
      <c r="H128" s="127" t="n"/>
      <c r="I128" s="81" t="n"/>
      <c r="J128" s="75" t="n"/>
    </row>
    <row r="129" ht="21" customHeight="1" s="47">
      <c r="A129" s="75" t="n"/>
      <c r="B129" s="164" t="inlineStr">
        <is>
          <t>Rentabilidad por marca</t>
        </is>
      </c>
      <c r="I129" s="110" t="n"/>
      <c r="J129" s="75" t="n"/>
    </row>
    <row r="130" ht="14" customHeight="1" s="47">
      <c r="A130" s="75" t="n"/>
      <c r="B130" s="165" t="inlineStr"/>
      <c r="I130" s="110" t="n"/>
      <c r="J130" s="75" t="n"/>
    </row>
    <row r="131">
      <c r="A131" s="75" t="n"/>
      <c r="B131" s="106" t="n"/>
      <c r="C131" s="107" t="n"/>
      <c r="D131" s="107" t="n"/>
      <c r="E131" s="107" t="n"/>
      <c r="F131" s="107" t="n"/>
      <c r="G131" s="107" t="n"/>
      <c r="H131" s="107" t="n"/>
      <c r="I131" s="108" t="n"/>
      <c r="J131" s="75" t="n"/>
    </row>
    <row r="132">
      <c r="A132" s="75" t="n"/>
      <c r="B132" s="106" t="n"/>
      <c r="C132" s="107" t="n"/>
      <c r="D132" s="107" t="n"/>
      <c r="E132" s="107" t="n"/>
      <c r="F132" s="107" t="n"/>
      <c r="G132" s="107" t="n"/>
      <c r="H132" s="107" t="n"/>
      <c r="I132" s="108" t="n"/>
      <c r="J132" s="75" t="n"/>
    </row>
    <row r="133">
      <c r="A133" s="75" t="n"/>
      <c r="B133" s="106" t="n"/>
      <c r="C133" s="107" t="n"/>
      <c r="D133" s="107" t="n"/>
      <c r="E133" s="107" t="n"/>
      <c r="F133" s="107" t="n"/>
      <c r="G133" s="107" t="n"/>
      <c r="H133" s="107" t="n"/>
      <c r="I133" s="108" t="n"/>
      <c r="J133" s="75" t="n"/>
    </row>
    <row r="134">
      <c r="A134" s="75" t="n"/>
      <c r="B134" s="106" t="n"/>
      <c r="C134" s="107" t="n"/>
      <c r="D134" s="107" t="n"/>
      <c r="E134" s="107" t="n"/>
      <c r="F134" s="107" t="n"/>
      <c r="G134" s="107" t="n"/>
      <c r="H134" s="107" t="n"/>
      <c r="I134" s="108" t="n"/>
      <c r="J134" s="75" t="n"/>
    </row>
    <row r="135">
      <c r="A135" s="75" t="n"/>
      <c r="B135" s="106" t="n"/>
      <c r="C135" s="107" t="n"/>
      <c r="D135" s="107" t="n"/>
      <c r="E135" s="107" t="n"/>
      <c r="F135" s="107" t="n"/>
      <c r="G135" s="107" t="n"/>
      <c r="H135" s="107" t="n"/>
      <c r="I135" s="108" t="n"/>
      <c r="J135" s="75" t="n"/>
    </row>
    <row r="136">
      <c r="A136" s="75" t="n"/>
      <c r="B136" s="106" t="n"/>
      <c r="C136" s="107" t="n"/>
      <c r="D136" s="107" t="n"/>
      <c r="E136" s="107" t="n"/>
      <c r="F136" s="107" t="n"/>
      <c r="G136" s="107" t="n"/>
      <c r="H136" s="107" t="n"/>
      <c r="I136" s="108" t="n"/>
      <c r="J136" s="75" t="n"/>
    </row>
    <row r="137">
      <c r="A137" s="75" t="n"/>
      <c r="B137" s="106" t="n"/>
      <c r="C137" s="107" t="n"/>
      <c r="D137" s="107" t="n"/>
      <c r="E137" s="107" t="n"/>
      <c r="F137" s="107" t="n"/>
      <c r="G137" s="107" t="n"/>
      <c r="H137" s="107" t="n"/>
      <c r="I137" s="108" t="n"/>
      <c r="J137" s="75" t="n"/>
    </row>
    <row r="138">
      <c r="B138" s="147" t="n"/>
      <c r="C138" s="87" t="n"/>
      <c r="D138" s="87" t="n"/>
      <c r="E138" s="87" t="n"/>
      <c r="F138" s="87" t="n"/>
      <c r="G138" s="87" t="n"/>
      <c r="H138" s="87" t="n"/>
      <c r="I138" s="86" t="n"/>
    </row>
    <row r="139">
      <c r="B139" s="147" t="n"/>
      <c r="C139" s="87" t="n"/>
      <c r="D139" s="87" t="n"/>
      <c r="E139" s="87" t="n"/>
      <c r="F139" s="87" t="n"/>
      <c r="G139" s="87" t="n"/>
      <c r="H139" s="87" t="n"/>
      <c r="I139" s="86" t="n"/>
    </row>
    <row r="140">
      <c r="B140" s="147" t="n"/>
      <c r="C140" s="87" t="n"/>
      <c r="D140" s="87" t="n"/>
      <c r="E140" s="87" t="n"/>
      <c r="F140" s="87" t="n"/>
      <c r="G140" s="87" t="n"/>
      <c r="H140" s="87" t="n"/>
      <c r="I140" s="86" t="n"/>
    </row>
    <row r="141">
      <c r="B141" s="147" t="n"/>
      <c r="C141" s="87" t="n"/>
      <c r="D141" s="87" t="n"/>
      <c r="E141" s="87" t="n"/>
      <c r="F141" s="87" t="n"/>
      <c r="G141" s="87" t="n"/>
      <c r="H141" s="87" t="n"/>
      <c r="I141" s="86" t="n"/>
    </row>
    <row r="142">
      <c r="B142" s="147" t="n"/>
      <c r="C142" s="87" t="n"/>
      <c r="D142" s="87" t="n"/>
      <c r="E142" s="87" t="n"/>
      <c r="F142" s="87" t="n"/>
      <c r="G142" s="87" t="n"/>
      <c r="H142" s="87" t="n"/>
      <c r="I142" s="86" t="n"/>
    </row>
    <row r="143">
      <c r="B143" s="147" t="n"/>
      <c r="C143" s="87" t="n"/>
      <c r="D143" s="87" t="n"/>
      <c r="E143" s="87" t="n"/>
      <c r="F143" s="87" t="n"/>
      <c r="G143" s="87" t="n"/>
      <c r="H143" s="87" t="n"/>
      <c r="I143" s="86" t="n"/>
    </row>
    <row r="144">
      <c r="B144" s="147" t="n"/>
      <c r="C144" s="87" t="n"/>
      <c r="D144" s="87" t="n"/>
      <c r="E144" s="87" t="n"/>
      <c r="F144" s="87" t="n"/>
      <c r="G144" s="87" t="n"/>
      <c r="H144" s="87" t="n"/>
      <c r="I144" s="86" t="n"/>
    </row>
    <row r="145">
      <c r="B145" s="147" t="n"/>
      <c r="C145" s="87" t="n"/>
      <c r="D145" s="87" t="n"/>
      <c r="E145" s="87" t="n"/>
      <c r="F145" s="87" t="n"/>
      <c r="G145" s="87" t="n"/>
      <c r="H145" s="87" t="n"/>
      <c r="I145" s="86" t="n"/>
    </row>
    <row r="146">
      <c r="B146" s="147" t="n"/>
      <c r="C146" s="87" t="n"/>
      <c r="D146" s="87" t="n"/>
      <c r="E146" s="87" t="n"/>
      <c r="F146" s="87" t="n"/>
      <c r="G146" s="87" t="n"/>
      <c r="H146" s="87" t="n"/>
      <c r="I146" s="86" t="n"/>
    </row>
    <row r="147">
      <c r="B147" s="147" t="n"/>
      <c r="C147" s="87" t="n"/>
      <c r="D147" s="87" t="n"/>
      <c r="E147" s="87" t="n"/>
      <c r="F147" s="87" t="n"/>
      <c r="G147" s="87" t="n"/>
      <c r="H147" s="87" t="n"/>
      <c r="I147" s="86" t="n"/>
    </row>
    <row r="148">
      <c r="B148" s="147" t="n"/>
      <c r="C148" s="87" t="n"/>
      <c r="D148" s="87" t="n"/>
      <c r="E148" s="87" t="n"/>
      <c r="F148" s="87" t="n"/>
      <c r="G148" s="87" t="n"/>
      <c r="H148" s="87" t="n"/>
      <c r="I148" s="86" t="n"/>
    </row>
    <row r="149">
      <c r="B149" s="147" t="n"/>
      <c r="C149" s="87" t="n"/>
      <c r="D149" s="87" t="n"/>
      <c r="E149" s="87" t="n"/>
      <c r="F149" s="87" t="n"/>
      <c r="G149" s="87" t="n"/>
      <c r="H149" s="87" t="n"/>
      <c r="I149" s="86" t="n"/>
    </row>
    <row r="150">
      <c r="B150" s="147" t="n"/>
      <c r="C150" s="87" t="n"/>
      <c r="D150" s="87" t="n"/>
      <c r="E150" s="87" t="n"/>
      <c r="F150" s="87" t="n"/>
      <c r="G150" s="87" t="n"/>
      <c r="H150" s="87" t="n"/>
      <c r="I150" s="86" t="n"/>
    </row>
    <row r="151">
      <c r="B151" s="147" t="n"/>
      <c r="C151" s="87" t="n"/>
      <c r="D151" s="87" t="n"/>
      <c r="E151" s="87" t="n"/>
      <c r="F151" s="87" t="n"/>
      <c r="G151" s="87" t="n"/>
      <c r="H151" s="87" t="n"/>
      <c r="I151" s="86" t="n"/>
    </row>
    <row r="152">
      <c r="B152" s="147" t="n"/>
      <c r="C152" s="87" t="n"/>
      <c r="D152" s="87" t="n"/>
      <c r="E152" s="87" t="n"/>
      <c r="F152" s="87" t="n"/>
      <c r="G152" s="87" t="n"/>
      <c r="H152" s="87" t="n"/>
      <c r="I152" s="86" t="n"/>
    </row>
    <row r="153">
      <c r="B153" s="147" t="n"/>
      <c r="C153" s="87" t="n"/>
      <c r="D153" s="87" t="n"/>
      <c r="E153" s="87" t="n"/>
      <c r="F153" s="87" t="n"/>
      <c r="G153" s="87" t="n"/>
      <c r="H153" s="87" t="n"/>
      <c r="I153" s="86" t="n"/>
    </row>
    <row r="154">
      <c r="B154" s="148" t="n"/>
      <c r="C154" s="91" t="n"/>
      <c r="D154" s="91" t="n"/>
      <c r="E154" s="91" t="n"/>
      <c r="F154" s="91" t="n"/>
      <c r="G154" s="91" t="n"/>
      <c r="H154" s="91" t="n"/>
      <c r="I154" s="89" t="n"/>
    </row>
    <row r="156" ht="3" customHeight="1" s="47">
      <c r="B156" s="149" t="n"/>
      <c r="C156" s="150" t="n"/>
      <c r="D156" s="150" t="n"/>
      <c r="E156" s="150" t="n"/>
      <c r="F156" s="150" t="n"/>
      <c r="G156" s="150" t="n"/>
      <c r="H156" s="150" t="n"/>
      <c r="I156" s="151" t="n"/>
    </row>
    <row r="157" ht="21" customHeight="1" s="47">
      <c r="B157" s="164" t="inlineStr">
        <is>
          <t>Estado del inventario</t>
        </is>
      </c>
      <c r="I157" s="110" t="n"/>
    </row>
    <row r="158" ht="14" customHeight="1" s="47">
      <c r="B158" s="165" t="inlineStr"/>
      <c r="I158" s="110" t="n"/>
    </row>
    <row r="159">
      <c r="B159" s="147" t="n"/>
      <c r="C159" s="87" t="n"/>
      <c r="D159" s="87" t="n"/>
      <c r="E159" s="87" t="n"/>
      <c r="F159" s="87" t="n"/>
      <c r="G159" s="87" t="n"/>
      <c r="H159" s="87" t="n"/>
      <c r="I159" s="86" t="n"/>
    </row>
    <row r="160">
      <c r="B160" s="147" t="n"/>
      <c r="C160" s="87" t="n"/>
      <c r="D160" s="87" t="n"/>
      <c r="E160" s="87" t="n"/>
      <c r="F160" s="87" t="n"/>
      <c r="G160" s="87" t="n"/>
      <c r="H160" s="87" t="n"/>
      <c r="I160" s="86" t="n"/>
    </row>
    <row r="161">
      <c r="B161" s="147" t="n"/>
      <c r="C161" s="87" t="n"/>
      <c r="D161" s="87" t="n"/>
      <c r="E161" s="87" t="n"/>
      <c r="F161" s="87" t="n"/>
      <c r="G161" s="87" t="n"/>
      <c r="H161" s="87" t="n"/>
      <c r="I161" s="86" t="n"/>
    </row>
    <row r="162">
      <c r="B162" s="147" t="n"/>
      <c r="C162" s="87" t="n"/>
      <c r="D162" s="87" t="n"/>
      <c r="E162" s="87" t="n"/>
      <c r="F162" s="87" t="n"/>
      <c r="G162" s="87" t="n"/>
      <c r="H162" s="87" t="n"/>
      <c r="I162" s="86" t="n"/>
    </row>
    <row r="163">
      <c r="B163" s="147" t="n"/>
      <c r="C163" s="87" t="n"/>
      <c r="D163" s="87" t="n"/>
      <c r="E163" s="87" t="n"/>
      <c r="F163" s="87" t="n"/>
      <c r="G163" s="87" t="n"/>
      <c r="H163" s="87" t="n"/>
      <c r="I163" s="86" t="n"/>
    </row>
    <row r="164">
      <c r="B164" s="147" t="n"/>
      <c r="C164" s="87" t="n"/>
      <c r="D164" s="87" t="n"/>
      <c r="E164" s="87" t="n"/>
      <c r="F164" s="87" t="n"/>
      <c r="G164" s="87" t="n"/>
      <c r="H164" s="87" t="n"/>
      <c r="I164" s="86" t="n"/>
    </row>
    <row r="165">
      <c r="B165" s="147" t="n"/>
      <c r="C165" s="87" t="n"/>
      <c r="D165" s="87" t="n"/>
      <c r="E165" s="87" t="n"/>
      <c r="F165" s="87" t="n"/>
      <c r="G165" s="87" t="n"/>
      <c r="H165" s="87" t="n"/>
      <c r="I165" s="86" t="n"/>
    </row>
    <row r="166">
      <c r="B166" s="147" t="n"/>
      <c r="C166" s="87" t="n"/>
      <c r="D166" s="87" t="n"/>
      <c r="E166" s="87" t="n"/>
      <c r="F166" s="87" t="n"/>
      <c r="G166" s="87" t="n"/>
      <c r="H166" s="87" t="n"/>
      <c r="I166" s="86" t="n"/>
    </row>
    <row r="167">
      <c r="B167" s="147" t="n"/>
      <c r="C167" s="87" t="n"/>
      <c r="D167" s="87" t="n"/>
      <c r="E167" s="87" t="n"/>
      <c r="F167" s="87" t="n"/>
      <c r="G167" s="87" t="n"/>
      <c r="H167" s="87" t="n"/>
      <c r="I167" s="86" t="n"/>
    </row>
    <row r="168">
      <c r="B168" s="147" t="n"/>
      <c r="C168" s="87" t="n"/>
      <c r="D168" s="87" t="n"/>
      <c r="E168" s="87" t="n"/>
      <c r="F168" s="87" t="n"/>
      <c r="G168" s="87" t="n"/>
      <c r="H168" s="87" t="n"/>
      <c r="I168" s="86" t="n"/>
    </row>
    <row r="169">
      <c r="B169" s="147" t="n"/>
      <c r="C169" s="87" t="n"/>
      <c r="D169" s="87" t="n"/>
      <c r="E169" s="87" t="n"/>
      <c r="F169" s="87" t="n"/>
      <c r="G169" s="87" t="n"/>
      <c r="H169" s="87" t="n"/>
      <c r="I169" s="86" t="n"/>
    </row>
    <row r="170">
      <c r="B170" s="147" t="n"/>
      <c r="C170" s="87" t="n"/>
      <c r="D170" s="87" t="n"/>
      <c r="E170" s="87" t="n"/>
      <c r="F170" s="87" t="n"/>
      <c r="G170" s="87" t="n"/>
      <c r="H170" s="87" t="n"/>
      <c r="I170" s="86" t="n"/>
    </row>
    <row r="171">
      <c r="B171" s="147" t="n"/>
      <c r="C171" s="87" t="n"/>
      <c r="D171" s="87" t="n"/>
      <c r="E171" s="87" t="n"/>
      <c r="F171" s="87" t="n"/>
      <c r="G171" s="87" t="n"/>
      <c r="H171" s="87" t="n"/>
      <c r="I171" s="86" t="n"/>
    </row>
    <row r="172">
      <c r="B172" s="147" t="n"/>
      <c r="C172" s="87" t="n"/>
      <c r="D172" s="87" t="n"/>
      <c r="E172" s="87" t="n"/>
      <c r="F172" s="87" t="n"/>
      <c r="G172" s="87" t="n"/>
      <c r="H172" s="87" t="n"/>
      <c r="I172" s="86" t="n"/>
    </row>
    <row r="173">
      <c r="B173" s="147" t="n"/>
      <c r="C173" s="87" t="n"/>
      <c r="D173" s="87" t="n"/>
      <c r="E173" s="87" t="n"/>
      <c r="F173" s="87" t="n"/>
      <c r="G173" s="87" t="n"/>
      <c r="H173" s="87" t="n"/>
      <c r="I173" s="86" t="n"/>
    </row>
    <row r="174">
      <c r="B174" s="147" t="n"/>
      <c r="C174" s="87" t="n"/>
      <c r="D174" s="87" t="n"/>
      <c r="E174" s="87" t="n"/>
      <c r="F174" s="87" t="n"/>
      <c r="G174" s="87" t="n"/>
      <c r="H174" s="87" t="n"/>
      <c r="I174" s="86" t="n"/>
    </row>
    <row r="175">
      <c r="B175" s="147" t="n"/>
      <c r="C175" s="87" t="n"/>
      <c r="D175" s="87" t="n"/>
      <c r="E175" s="87" t="n"/>
      <c r="F175" s="87" t="n"/>
      <c r="G175" s="87" t="n"/>
      <c r="H175" s="87" t="n"/>
      <c r="I175" s="86" t="n"/>
    </row>
    <row r="176">
      <c r="B176" s="147" t="n"/>
      <c r="C176" s="87" t="n"/>
      <c r="D176" s="87" t="n"/>
      <c r="E176" s="87" t="n"/>
      <c r="F176" s="87" t="n"/>
      <c r="G176" s="87" t="n"/>
      <c r="H176" s="87" t="n"/>
      <c r="I176" s="86" t="n"/>
    </row>
    <row r="177">
      <c r="B177" s="147" t="n"/>
      <c r="C177" s="87" t="n"/>
      <c r="D177" s="87" t="n"/>
      <c r="E177" s="87" t="n"/>
      <c r="F177" s="87" t="n"/>
      <c r="G177" s="87" t="n"/>
      <c r="H177" s="87" t="n"/>
      <c r="I177" s="86" t="n"/>
    </row>
    <row r="178">
      <c r="B178" s="148" t="n"/>
      <c r="C178" s="91" t="n"/>
      <c r="D178" s="91" t="n"/>
      <c r="E178" s="91" t="n"/>
      <c r="F178" s="91" t="n"/>
      <c r="G178" s="91" t="n"/>
      <c r="H178" s="91" t="n"/>
      <c r="I178" s="89" t="n"/>
    </row>
    <row r="181" ht="15" customHeight="1" s="47">
      <c r="B181" s="152" t="inlineStr">
        <is>
          <t>ADIMCLO · Consultoría en datos, estrategia empresarial, arquitectura, integración y automatización     ·     Prototipo de demostración con datos de ejemplo.</t>
        </is>
      </c>
    </row>
  </sheetData>
  <mergeCells count="45">
    <mergeCell ref="B97:I97"/>
    <mergeCell ref="D10:E10"/>
    <mergeCell ref="B7:C7"/>
    <mergeCell ref="B129:I129"/>
    <mergeCell ref="B47:I47"/>
    <mergeCell ref="B102:I102"/>
    <mergeCell ref="B93:I93"/>
    <mergeCell ref="B96:I96"/>
    <mergeCell ref="B130:I130"/>
    <mergeCell ref="B11:C11"/>
    <mergeCell ref="D11:E11"/>
    <mergeCell ref="B2:I2"/>
    <mergeCell ref="F4:I4"/>
    <mergeCell ref="F11:I11"/>
    <mergeCell ref="B14:I14"/>
    <mergeCell ref="B60:I60"/>
    <mergeCell ref="B98:I98"/>
    <mergeCell ref="B181:I181"/>
    <mergeCell ref="B32:I32"/>
    <mergeCell ref="B1:I1"/>
    <mergeCell ref="B8:C8"/>
    <mergeCell ref="F10:I10"/>
    <mergeCell ref="B101:I101"/>
    <mergeCell ref="B157:I157"/>
    <mergeCell ref="D7:E7"/>
    <mergeCell ref="B29:I29"/>
    <mergeCell ref="F7:I7"/>
    <mergeCell ref="B10:C10"/>
    <mergeCell ref="D4:E4"/>
    <mergeCell ref="F5:I5"/>
    <mergeCell ref="B158:I158"/>
    <mergeCell ref="D8:E8"/>
    <mergeCell ref="B92:I92"/>
    <mergeCell ref="B15:I15"/>
    <mergeCell ref="B33:I33"/>
    <mergeCell ref="F8:I8"/>
    <mergeCell ref="B5:C5"/>
    <mergeCell ref="B95:I95"/>
    <mergeCell ref="D5:E5"/>
    <mergeCell ref="B76:I76"/>
    <mergeCell ref="B94:I94"/>
    <mergeCell ref="B63:I63"/>
    <mergeCell ref="B79:I79"/>
    <mergeCell ref="B4:C4"/>
    <mergeCell ref="B50:I50"/>
  </mergeCells>
  <conditionalFormatting sqref="C17:C28">
    <cfRule type="dataBar" priority="1">
      <dataBar showValue="1">
        <cfvo type="num" val="0"/>
        <cfvo type="max"/>
        <color rgb="0000D9B2"/>
      </dataBar>
    </cfRule>
  </conditionalFormatting>
  <conditionalFormatting sqref="C35:C46">
    <cfRule type="dataBar" priority="2">
      <dataBar showValue="1">
        <cfvo type="num" val="0"/>
        <cfvo type="max"/>
        <color rgb="004C8DFF"/>
      </dataBar>
    </cfRule>
  </conditionalFormatting>
  <conditionalFormatting sqref="C81:C89">
    <cfRule type="dataBar" priority="3">
      <dataBar showValue="1">
        <cfvo type="num" val="0"/>
        <cfvo type="max"/>
        <color rgb="0038BDF8"/>
      </dataBar>
    </cfRule>
  </conditionalFormatting>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drawing xmlns:r="http://schemas.openxmlformats.org/officeDocument/2006/relationships" r:id="rId1"/>
</worksheet>
</file>

<file path=xl/worksheets/sheet7.xml><?xml version="1.0" encoding="utf-8"?>
<worksheet xmlns="http://schemas.openxmlformats.org/spreadsheetml/2006/main">
  <sheetPr>
    <outlinePr summaryBelow="1" summaryRight="1"/>
    <pageSetUpPr/>
  </sheetPr>
  <dimension ref="B1:D35"/>
  <sheetViews>
    <sheetView showGridLines="0" workbookViewId="0">
      <selection activeCell="A1" sqref="A1"/>
    </sheetView>
  </sheetViews>
  <sheetFormatPr baseColWidth="8" defaultRowHeight="15"/>
  <cols>
    <col width="3" customWidth="1" style="47" min="1" max="1"/>
    <col width="26" customWidth="1" style="47" min="2" max="2"/>
    <col width="66" customWidth="1" style="47" min="3" max="3"/>
    <col width="18" customWidth="1" style="47" min="4" max="4"/>
    <col width="4" customWidth="1" style="47" min="5" max="5"/>
  </cols>
  <sheetData>
    <row r="1" ht="30" customHeight="1" s="47">
      <c r="B1" s="168" t="inlineStr">
        <is>
          <t>ADIMCLO  ·  ¿Y si esto lo hiciera solo, en toda la cadena?</t>
        </is>
      </c>
    </row>
    <row r="2" ht="15" customHeight="1" s="47">
      <c r="B2" s="170" t="inlineStr">
        <is>
          <t>Esta plantilla es un prototipo. Sirve para ver el número una vez; no para sostenerlo tienda por tienda.</t>
        </is>
      </c>
    </row>
    <row r="4" ht="15" customHeight="1" s="47">
      <c r="B4" s="171" t="inlineStr">
        <is>
          <t>Usted acaba de ver el capital que la cadena tiene inmovilizado, qué marca se lo está exigiendo y cuánto margen se le va entre el descuento de piso y el costo de la financiación.
Lo hizo con datos digitados y una foto del período. En una cadena de electrodomésticos ese número cambia todos los días: rotan los traslados entre tiendas, cambian las condiciones del fabricante y cada punto negocia su propio descuento.</t>
        </is>
      </c>
    </row>
    <row r="5" ht="15" customHeight="1" s="47"/>
    <row r="6" ht="15" customHeight="1" s="47"/>
    <row r="7" ht="15" customHeight="1" s="47"/>
    <row r="8" ht="15" customHeight="1" s="47"/>
    <row r="9" ht="15" customHeight="1" s="47"/>
    <row r="10" ht="15" customHeight="1" s="47"/>
    <row r="12" ht="15" customHeight="1" s="47">
      <c r="B12" s="172" t="inlineStr">
        <is>
          <t>LO QUE UN EXCEL NO PUEDE HACER POR USTED</t>
        </is>
      </c>
    </row>
    <row r="13" ht="17" customHeight="1" s="47">
      <c r="B13" s="173" t="inlineStr">
        <is>
          <t>·</t>
        </is>
      </c>
      <c r="C13" s="174" t="inlineStr">
        <is>
          <t>Leer el inventario y las ventas de cada tienda directamente del ERP y del POS.</t>
        </is>
      </c>
    </row>
    <row r="14" ht="17" customHeight="1" s="47">
      <c r="B14" s="173" t="inlineStr">
        <is>
          <t>·</t>
        </is>
      </c>
      <c r="C14" s="174" t="inlineStr">
        <is>
          <t>Avisar que hay quiebre en una tienda mientras sobra el mismo SKU en otra.</t>
        </is>
      </c>
    </row>
    <row r="15" ht="30" customHeight="1" s="47">
      <c r="B15" s="173" t="inlineStr">
        <is>
          <t>·</t>
        </is>
      </c>
      <c r="C15" s="174" t="inlineStr">
        <is>
          <t>Calcular el costo financiero real de cada venta a cuotas, referencia por referencia.</t>
        </is>
      </c>
    </row>
    <row r="16" ht="17" customHeight="1" s="47">
      <c r="B16" s="173" t="inlineStr">
        <is>
          <t>·</t>
        </is>
      </c>
      <c r="C16" s="174" t="inlineStr">
        <is>
          <t>Controlar cuánto descuento de piso se autorizó por vendedor y por marca.</t>
        </is>
      </c>
    </row>
    <row r="17" ht="17" customHeight="1" s="47">
      <c r="B17" s="173" t="inlineStr">
        <is>
          <t>·</t>
        </is>
      </c>
      <c r="C17" s="174" t="inlineStr">
        <is>
          <t>Sostener el histórico de varias tiendas y cientos de SKU sin volverse lento.</t>
        </is>
      </c>
    </row>
    <row r="18" ht="17" customHeight="1" s="47">
      <c r="B18" s="173" t="inlineStr">
        <is>
          <t>·</t>
        </is>
      </c>
      <c r="C18" s="174" t="inlineStr">
        <is>
          <t>Recalcular los días de inventario cada mañana sin que alguien arme el archivo.</t>
        </is>
      </c>
    </row>
    <row r="20" ht="15" customHeight="1" s="47">
      <c r="B20" s="172" t="inlineStr">
        <is>
          <t>NUESTROS SERVICIOS, APLICADOS A SU NEGOCIO</t>
        </is>
      </c>
    </row>
    <row r="21" ht="24" customHeight="1" s="47">
      <c r="B21" s="175" t="inlineStr">
        <is>
          <t>Servicio</t>
        </is>
      </c>
      <c r="C21" s="175" t="inlineStr">
        <is>
          <t>Qué resuelve en su operación</t>
        </is>
      </c>
      <c r="D21" s="175" t="inlineStr">
        <is>
          <t>Unidad</t>
        </is>
      </c>
    </row>
    <row r="22" ht="30" customHeight="1" s="47">
      <c r="B22" s="176" t="inlineStr">
        <is>
          <t>MINERÍA</t>
        </is>
      </c>
      <c r="C22" s="177" t="inlineStr">
        <is>
          <t>Unifica el ERP, el POS de cada tienda y el histórico de compras al fabricante en un solo catálogo, con el mismo código de producto en todas partes.</t>
        </is>
      </c>
      <c r="D22" s="178" t="inlineStr">
        <is>
          <t>01 · Analítica</t>
        </is>
      </c>
    </row>
    <row r="23" ht="30" customHeight="1" s="47">
      <c r="B23" s="176" t="inlineStr">
        <is>
          <t>REPORTERÍA</t>
        </is>
      </c>
      <c r="C23" s="177" t="inlineStr">
        <is>
          <t>Días de inventario, margen después de financiación y quiebres por tienda, actualizados solos. Cada gerente ve su punto; la dirección ve la cadena.</t>
        </is>
      </c>
      <c r="D23" s="178" t="inlineStr">
        <is>
          <t>01 · Analítica</t>
        </is>
      </c>
    </row>
    <row r="24" ht="30" customHeight="1" s="47">
      <c r="B24" s="176" t="inlineStr">
        <is>
          <t>PRONÓSTICO</t>
        </is>
      </c>
      <c r="C24" s="177" t="inlineStr">
        <is>
          <t>Proyecta la demanda por SKU y por tienda para negociar volumen con el fabricante antes de la temporada, no cuando ya se agotó.</t>
        </is>
      </c>
      <c r="D24" s="178" t="inlineStr">
        <is>
          <t>01 · Analítica</t>
        </is>
      </c>
    </row>
    <row r="25" ht="30" customHeight="1" s="47">
      <c r="B25" s="176" t="inlineStr">
        <is>
          <t>RETAIL</t>
        </is>
      </c>
      <c r="C25" s="177" t="inlineStr">
        <is>
          <t>Cuantifica hasta dónde puede mover precio y descuento de piso sin perder venta, y cuánto margen adicional hay en la mezcla de marcas.</t>
        </is>
      </c>
      <c r="D25" s="178" t="inlineStr">
        <is>
          <t>01 · Analítica</t>
        </is>
      </c>
    </row>
    <row r="26" ht="30" customHeight="1" s="47">
      <c r="B26" s="176" t="inlineStr">
        <is>
          <t>SINAPSIS</t>
        </is>
      </c>
      <c r="C26" s="177" t="inlineStr">
        <is>
          <t>Conecta el ERP con el POS y con la plataforma de financiación, para que el inventario y la cartera dejen de cuadrarse a mano.</t>
        </is>
      </c>
      <c r="D26" s="178" t="inlineStr">
        <is>
          <t>03 · Arquitectura</t>
        </is>
      </c>
    </row>
    <row r="27" ht="30" customHeight="1" s="47">
      <c r="B27" s="176" t="inlineStr">
        <is>
          <t>ENGRANAJE</t>
        </is>
      </c>
      <c r="C27" s="177" t="inlineStr">
        <is>
          <t>Genera sola la orden de traslado entre tiendas y la orden de compra por proveedor, con las cantidades ya calculadas.</t>
        </is>
      </c>
      <c r="D27" s="178" t="inlineStr">
        <is>
          <t>04 · Desarrollo</t>
        </is>
      </c>
    </row>
    <row r="28" ht="42.5" customHeight="1" s="47">
      <c r="B28" s="176" t="inlineStr">
        <is>
          <t>CAUCE</t>
        </is>
      </c>
      <c r="C28" s="177" t="inlineStr">
        <is>
          <t>Ordena el proceso de reposición y traslados: quién autoriza, con qué criterio y en qué plazo, para que el capital no se quede quieto en la tienda equivocada.</t>
        </is>
      </c>
      <c r="D28" s="178" t="inlineStr">
        <is>
          <t>02 · Consultoría</t>
        </is>
      </c>
    </row>
    <row r="29" ht="30" customHeight="1" s="47">
      <c r="B29" s="176" t="inlineStr">
        <is>
          <t>PRISMA</t>
        </is>
      </c>
      <c r="C29" s="177" t="inlineStr">
        <is>
          <t>Evalúa con números si conviene abrir un punto nuevo o cargar con una marca más: inversión, punto de equilibrio y escenarios.</t>
        </is>
      </c>
      <c r="D29" s="178" t="inlineStr">
        <is>
          <t>02 · Consultoría</t>
        </is>
      </c>
    </row>
    <row r="31" ht="15" customHeight="1" s="47">
      <c r="B31" s="179" t="inlineStr">
        <is>
          <t>Escríbanos y revisamos juntos su tablero en media hora, sin costo.
comercial@adimclo.com   ·   +57 315 368 2262   ·   www.adimclo.com</t>
        </is>
      </c>
    </row>
    <row r="32" ht="15" customHeight="1" s="47"/>
    <row r="33" ht="15" customHeight="1" s="47"/>
    <row r="35">
      <c r="B35" s="181" t="inlineStr">
        <is>
          <t>Elaborado por ADIMCLO · Consultoría en datos, estrategia empresarial, arquitectura, integración y automatización</t>
        </is>
      </c>
    </row>
  </sheetData>
  <mergeCells count="4">
    <mergeCell ref="B1:D1"/>
    <mergeCell ref="B2:D2"/>
    <mergeCell ref="B4:D10"/>
    <mergeCell ref="B31:D3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2026-07-27T17:12:44Z</dcterms:created>
  <dcterms:modified xmlns:dcterms="http://purl.org/dc/terms/" xmlns:xsi="http://www.w3.org/2001/XMLSchema-instance" xsi:type="dcterms:W3CDTF">2026-08-03T17:54:26Z</dcterms:modified>
  <cp:revision>0</cp:revision>
</cp:coreProperties>
</file>