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ADC-Brochure 2026\"/>
    </mc:Choice>
  </mc:AlternateContent>
  <xr:revisionPtr revIDLastSave="0" documentId="13_ncr:1_{57C64673-672F-45ED-814F-A98606DA0DDE}" xr6:coauthVersionLast="47" xr6:coauthVersionMax="47" xr10:uidLastSave="{00000000-0000-0000-0000-000000000000}"/>
  <bookViews>
    <workbookView xWindow="28680" yWindow="-120" windowWidth="29040" windowHeight="15720" tabRatio="568" activeTab="1" xr2:uid="{00000000-000D-0000-FFFF-FFFF00000000}"/>
  </bookViews>
  <sheets>
    <sheet name="Tablero" sheetId="1" r:id="rId1"/>
    <sheet name="Instrucciones" sheetId="2" r:id="rId2"/>
    <sheet name="Sedes" sheetId="3" r:id="rId3"/>
    <sheet name="Insumos" sheetId="4" r:id="rId4"/>
    <sheet name="Recetas" sheetId="5" r:id="rId5"/>
    <sheet name="Menú" sheetId="6" r:id="rId6"/>
    <sheet name="Ventas" sheetId="7" r:id="rId7"/>
    <sheet name="Servicios ADIMCLO" sheetId="8" r:id="rId8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4" i="7" l="1"/>
  <c r="H104" i="7"/>
  <c r="J104" i="7" s="1"/>
  <c r="F104" i="7"/>
  <c r="K103" i="7"/>
  <c r="H103" i="7"/>
  <c r="J103" i="7" s="1"/>
  <c r="F103" i="7"/>
  <c r="K102" i="7"/>
  <c r="H102" i="7"/>
  <c r="J102" i="7" s="1"/>
  <c r="F102" i="7"/>
  <c r="K101" i="7"/>
  <c r="H101" i="7"/>
  <c r="J101" i="7" s="1"/>
  <c r="F101" i="7"/>
  <c r="K100" i="7"/>
  <c r="H100" i="7"/>
  <c r="J100" i="7" s="1"/>
  <c r="F100" i="7"/>
  <c r="K99" i="7"/>
  <c r="H99" i="7"/>
  <c r="J99" i="7" s="1"/>
  <c r="F99" i="7"/>
  <c r="K98" i="7"/>
  <c r="H98" i="7"/>
  <c r="J98" i="7" s="1"/>
  <c r="F98" i="7"/>
  <c r="K97" i="7"/>
  <c r="H97" i="7"/>
  <c r="J97" i="7" s="1"/>
  <c r="F97" i="7"/>
  <c r="K96" i="7"/>
  <c r="H96" i="7"/>
  <c r="J96" i="7" s="1"/>
  <c r="F96" i="7"/>
  <c r="K95" i="7"/>
  <c r="H95" i="7"/>
  <c r="J95" i="7" s="1"/>
  <c r="F95" i="7"/>
  <c r="K94" i="7"/>
  <c r="H94" i="7"/>
  <c r="J94" i="7" s="1"/>
  <c r="F94" i="7"/>
  <c r="K93" i="7"/>
  <c r="H93" i="7"/>
  <c r="J93" i="7" s="1"/>
  <c r="F93" i="7"/>
  <c r="K92" i="7"/>
  <c r="H92" i="7"/>
  <c r="J92" i="7" s="1"/>
  <c r="F92" i="7"/>
  <c r="K91" i="7"/>
  <c r="H91" i="7"/>
  <c r="J91" i="7" s="1"/>
  <c r="F91" i="7"/>
  <c r="K90" i="7"/>
  <c r="H90" i="7"/>
  <c r="J90" i="7" s="1"/>
  <c r="F90" i="7"/>
  <c r="K89" i="7"/>
  <c r="H89" i="7"/>
  <c r="J89" i="7" s="1"/>
  <c r="F89" i="7"/>
  <c r="K88" i="7"/>
  <c r="H88" i="7"/>
  <c r="J88" i="7" s="1"/>
  <c r="F88" i="7"/>
  <c r="K87" i="7"/>
  <c r="H87" i="7"/>
  <c r="J87" i="7" s="1"/>
  <c r="F87" i="7"/>
  <c r="K86" i="7"/>
  <c r="H86" i="7"/>
  <c r="J86" i="7" s="1"/>
  <c r="F86" i="7"/>
  <c r="K85" i="7"/>
  <c r="H85" i="7"/>
  <c r="J85" i="7" s="1"/>
  <c r="F85" i="7"/>
  <c r="K84" i="7"/>
  <c r="H84" i="7"/>
  <c r="J84" i="7" s="1"/>
  <c r="F84" i="7"/>
  <c r="K83" i="7"/>
  <c r="H83" i="7"/>
  <c r="J83" i="7" s="1"/>
  <c r="F83" i="7"/>
  <c r="K82" i="7"/>
  <c r="H82" i="7"/>
  <c r="J82" i="7" s="1"/>
  <c r="F82" i="7"/>
  <c r="K81" i="7"/>
  <c r="H81" i="7"/>
  <c r="J81" i="7" s="1"/>
  <c r="F81" i="7"/>
  <c r="K80" i="7"/>
  <c r="H80" i="7"/>
  <c r="J80" i="7" s="1"/>
  <c r="F80" i="7"/>
  <c r="K79" i="7"/>
  <c r="H79" i="7"/>
  <c r="J79" i="7" s="1"/>
  <c r="F79" i="7"/>
  <c r="K78" i="7"/>
  <c r="H78" i="7"/>
  <c r="J78" i="7" s="1"/>
  <c r="F78" i="7"/>
  <c r="K77" i="7"/>
  <c r="H77" i="7"/>
  <c r="J77" i="7" s="1"/>
  <c r="F77" i="7"/>
  <c r="K76" i="7"/>
  <c r="H76" i="7"/>
  <c r="J76" i="7" s="1"/>
  <c r="F76" i="7"/>
  <c r="K75" i="7"/>
  <c r="H75" i="7"/>
  <c r="J75" i="7" s="1"/>
  <c r="F75" i="7"/>
  <c r="K74" i="7"/>
  <c r="H74" i="7"/>
  <c r="J74" i="7" s="1"/>
  <c r="F74" i="7"/>
  <c r="K73" i="7"/>
  <c r="H73" i="7"/>
  <c r="J73" i="7" s="1"/>
  <c r="F73" i="7"/>
  <c r="K72" i="7"/>
  <c r="H72" i="7"/>
  <c r="J72" i="7" s="1"/>
  <c r="F72" i="7"/>
  <c r="K71" i="7"/>
  <c r="H71" i="7"/>
  <c r="J71" i="7" s="1"/>
  <c r="F71" i="7"/>
  <c r="K70" i="7"/>
  <c r="H70" i="7"/>
  <c r="J70" i="7" s="1"/>
  <c r="F70" i="7"/>
  <c r="K69" i="7"/>
  <c r="H69" i="7"/>
  <c r="J69" i="7" s="1"/>
  <c r="F69" i="7"/>
  <c r="K68" i="7"/>
  <c r="H68" i="7"/>
  <c r="J68" i="7" s="1"/>
  <c r="F68" i="7"/>
  <c r="K67" i="7"/>
  <c r="H67" i="7"/>
  <c r="J67" i="7" s="1"/>
  <c r="F67" i="7"/>
  <c r="K66" i="7"/>
  <c r="H66" i="7"/>
  <c r="J66" i="7" s="1"/>
  <c r="F66" i="7"/>
  <c r="K65" i="7"/>
  <c r="H65" i="7"/>
  <c r="J65" i="7" s="1"/>
  <c r="F65" i="7"/>
  <c r="K64" i="7"/>
  <c r="H64" i="7"/>
  <c r="J64" i="7" s="1"/>
  <c r="F64" i="7"/>
  <c r="K63" i="7"/>
  <c r="H63" i="7"/>
  <c r="J63" i="7" s="1"/>
  <c r="F63" i="7"/>
  <c r="K62" i="7"/>
  <c r="H62" i="7"/>
  <c r="J62" i="7" s="1"/>
  <c r="F62" i="7"/>
  <c r="K61" i="7"/>
  <c r="H61" i="7"/>
  <c r="J61" i="7" s="1"/>
  <c r="F61" i="7"/>
  <c r="K60" i="7"/>
  <c r="H60" i="7"/>
  <c r="J60" i="7" s="1"/>
  <c r="F60" i="7"/>
  <c r="K59" i="7"/>
  <c r="H59" i="7"/>
  <c r="J59" i="7" s="1"/>
  <c r="F59" i="7"/>
  <c r="K58" i="7"/>
  <c r="H58" i="7"/>
  <c r="J58" i="7" s="1"/>
  <c r="F58" i="7"/>
  <c r="K57" i="7"/>
  <c r="H57" i="7"/>
  <c r="J57" i="7" s="1"/>
  <c r="F57" i="7"/>
  <c r="K56" i="7"/>
  <c r="H56" i="7"/>
  <c r="J56" i="7" s="1"/>
  <c r="F56" i="7"/>
  <c r="K55" i="7"/>
  <c r="H55" i="7"/>
  <c r="J55" i="7" s="1"/>
  <c r="F55" i="7"/>
  <c r="K54" i="7"/>
  <c r="H54" i="7"/>
  <c r="J54" i="7" s="1"/>
  <c r="F54" i="7"/>
  <c r="K53" i="7"/>
  <c r="H53" i="7"/>
  <c r="J53" i="7" s="1"/>
  <c r="F53" i="7"/>
  <c r="K52" i="7"/>
  <c r="H52" i="7"/>
  <c r="J52" i="7" s="1"/>
  <c r="F52" i="7"/>
  <c r="K51" i="7"/>
  <c r="H51" i="7"/>
  <c r="J51" i="7" s="1"/>
  <c r="F51" i="7"/>
  <c r="K50" i="7"/>
  <c r="H50" i="7"/>
  <c r="J50" i="7" s="1"/>
  <c r="F50" i="7"/>
  <c r="K49" i="7"/>
  <c r="H49" i="7"/>
  <c r="J49" i="7" s="1"/>
  <c r="F49" i="7"/>
  <c r="K48" i="7"/>
  <c r="H48" i="7"/>
  <c r="J48" i="7" s="1"/>
  <c r="F48" i="7"/>
  <c r="K47" i="7"/>
  <c r="H47" i="7"/>
  <c r="J47" i="7" s="1"/>
  <c r="F47" i="7"/>
  <c r="K46" i="7"/>
  <c r="H46" i="7"/>
  <c r="J46" i="7" s="1"/>
  <c r="F46" i="7"/>
  <c r="K45" i="7"/>
  <c r="H45" i="7"/>
  <c r="J45" i="7" s="1"/>
  <c r="F45" i="7"/>
  <c r="K44" i="7"/>
  <c r="H44" i="7"/>
  <c r="J44" i="7" s="1"/>
  <c r="F44" i="7"/>
  <c r="K43" i="7"/>
  <c r="H43" i="7"/>
  <c r="J43" i="7" s="1"/>
  <c r="F43" i="7"/>
  <c r="K42" i="7"/>
  <c r="H42" i="7"/>
  <c r="J42" i="7" s="1"/>
  <c r="F42" i="7"/>
  <c r="K41" i="7"/>
  <c r="H41" i="7"/>
  <c r="J41" i="7" s="1"/>
  <c r="F41" i="7"/>
  <c r="K40" i="7"/>
  <c r="H40" i="7"/>
  <c r="J40" i="7" s="1"/>
  <c r="F40" i="7"/>
  <c r="K39" i="7"/>
  <c r="H39" i="7"/>
  <c r="J39" i="7" s="1"/>
  <c r="F39" i="7"/>
  <c r="K38" i="7"/>
  <c r="H38" i="7"/>
  <c r="J38" i="7" s="1"/>
  <c r="F38" i="7"/>
  <c r="K37" i="7"/>
  <c r="H37" i="7"/>
  <c r="J37" i="7" s="1"/>
  <c r="F37" i="7"/>
  <c r="K36" i="7"/>
  <c r="H36" i="7"/>
  <c r="J36" i="7" s="1"/>
  <c r="F36" i="7"/>
  <c r="K35" i="7"/>
  <c r="H35" i="7"/>
  <c r="J35" i="7" s="1"/>
  <c r="F35" i="7"/>
  <c r="K34" i="7"/>
  <c r="H34" i="7"/>
  <c r="J34" i="7" s="1"/>
  <c r="F34" i="7"/>
  <c r="K33" i="7"/>
  <c r="H33" i="7"/>
  <c r="J33" i="7" s="1"/>
  <c r="F33" i="7"/>
  <c r="K32" i="7"/>
  <c r="H32" i="7"/>
  <c r="J32" i="7" s="1"/>
  <c r="F32" i="7"/>
  <c r="K31" i="7"/>
  <c r="H31" i="7"/>
  <c r="J31" i="7" s="1"/>
  <c r="F31" i="7"/>
  <c r="K30" i="7"/>
  <c r="H30" i="7"/>
  <c r="J30" i="7" s="1"/>
  <c r="F30" i="7"/>
  <c r="K29" i="7"/>
  <c r="H29" i="7"/>
  <c r="J29" i="7" s="1"/>
  <c r="F29" i="7"/>
  <c r="K28" i="7"/>
  <c r="H28" i="7"/>
  <c r="J28" i="7" s="1"/>
  <c r="F28" i="7"/>
  <c r="K27" i="7"/>
  <c r="H27" i="7"/>
  <c r="J27" i="7" s="1"/>
  <c r="F27" i="7"/>
  <c r="K26" i="7"/>
  <c r="H26" i="7"/>
  <c r="J26" i="7" s="1"/>
  <c r="F26" i="7"/>
  <c r="K25" i="7"/>
  <c r="H25" i="7"/>
  <c r="J25" i="7" s="1"/>
  <c r="F25" i="7"/>
  <c r="K24" i="7"/>
  <c r="H24" i="7"/>
  <c r="J24" i="7" s="1"/>
  <c r="F24" i="7"/>
  <c r="K23" i="7"/>
  <c r="H23" i="7"/>
  <c r="J23" i="7" s="1"/>
  <c r="F23" i="7"/>
  <c r="K22" i="7"/>
  <c r="H22" i="7"/>
  <c r="J22" i="7" s="1"/>
  <c r="F22" i="7"/>
  <c r="K21" i="7"/>
  <c r="H21" i="7"/>
  <c r="J21" i="7" s="1"/>
  <c r="F21" i="7"/>
  <c r="K20" i="7"/>
  <c r="H20" i="7"/>
  <c r="J20" i="7" s="1"/>
  <c r="F20" i="7"/>
  <c r="K19" i="7"/>
  <c r="H19" i="7"/>
  <c r="J19" i="7" s="1"/>
  <c r="F19" i="7"/>
  <c r="K18" i="7"/>
  <c r="H18" i="7"/>
  <c r="J18" i="7" s="1"/>
  <c r="F18" i="7"/>
  <c r="K17" i="7"/>
  <c r="H17" i="7"/>
  <c r="J17" i="7" s="1"/>
  <c r="F17" i="7"/>
  <c r="K16" i="7"/>
  <c r="H16" i="7"/>
  <c r="J16" i="7" s="1"/>
  <c r="F16" i="7"/>
  <c r="K15" i="7"/>
  <c r="H15" i="7"/>
  <c r="J15" i="7" s="1"/>
  <c r="F15" i="7"/>
  <c r="K14" i="7"/>
  <c r="H14" i="7"/>
  <c r="J14" i="7" s="1"/>
  <c r="F14" i="7"/>
  <c r="K13" i="7"/>
  <c r="H13" i="7"/>
  <c r="J13" i="7" s="1"/>
  <c r="F13" i="7"/>
  <c r="K12" i="7"/>
  <c r="H12" i="7"/>
  <c r="J12" i="7" s="1"/>
  <c r="F12" i="7"/>
  <c r="K11" i="7"/>
  <c r="H11" i="7"/>
  <c r="J11" i="7" s="1"/>
  <c r="F11" i="7"/>
  <c r="K10" i="7"/>
  <c r="H10" i="7"/>
  <c r="J10" i="7" s="1"/>
  <c r="F10" i="7"/>
  <c r="K9" i="7"/>
  <c r="H9" i="7"/>
  <c r="J9" i="7" s="1"/>
  <c r="F9" i="7"/>
  <c r="K8" i="7"/>
  <c r="H8" i="7"/>
  <c r="J8" i="7" s="1"/>
  <c r="F8" i="7"/>
  <c r="K7" i="7"/>
  <c r="H7" i="7"/>
  <c r="J7" i="7" s="1"/>
  <c r="F7" i="7"/>
  <c r="K6" i="7"/>
  <c r="H6" i="7"/>
  <c r="J6" i="7" s="1"/>
  <c r="F6" i="7"/>
  <c r="K5" i="7"/>
  <c r="H5" i="7"/>
  <c r="J5" i="7" s="1"/>
  <c r="F5" i="7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89" i="5"/>
  <c r="F89" i="5"/>
  <c r="G89" i="5" s="1"/>
  <c r="D89" i="5"/>
  <c r="E89" i="5" s="1"/>
  <c r="H88" i="5"/>
  <c r="F88" i="5"/>
  <c r="G88" i="5" s="1"/>
  <c r="D88" i="5"/>
  <c r="E88" i="5" s="1"/>
  <c r="H87" i="5"/>
  <c r="F87" i="5"/>
  <c r="G87" i="5" s="1"/>
  <c r="D87" i="5"/>
  <c r="E87" i="5" s="1"/>
  <c r="H86" i="5"/>
  <c r="F86" i="5"/>
  <c r="G86" i="5" s="1"/>
  <c r="E28" i="6" s="1"/>
  <c r="D86" i="5"/>
  <c r="E86" i="5" s="1"/>
  <c r="H85" i="5"/>
  <c r="F85" i="5"/>
  <c r="G85" i="5" s="1"/>
  <c r="D85" i="5"/>
  <c r="E85" i="5" s="1"/>
  <c r="H84" i="5"/>
  <c r="F84" i="5"/>
  <c r="G84" i="5" s="1"/>
  <c r="D84" i="5"/>
  <c r="E84" i="5" s="1"/>
  <c r="H83" i="5"/>
  <c r="F83" i="5"/>
  <c r="G83" i="5" s="1"/>
  <c r="D83" i="5"/>
  <c r="E83" i="5" s="1"/>
  <c r="H82" i="5"/>
  <c r="F82" i="5"/>
  <c r="G82" i="5" s="1"/>
  <c r="E27" i="6" s="1"/>
  <c r="D82" i="5"/>
  <c r="E82" i="5" s="1"/>
  <c r="H81" i="5"/>
  <c r="F81" i="5"/>
  <c r="G81" i="5" s="1"/>
  <c r="D81" i="5"/>
  <c r="E81" i="5" s="1"/>
  <c r="H80" i="5"/>
  <c r="F80" i="5"/>
  <c r="G80" i="5" s="1"/>
  <c r="E26" i="6" s="1"/>
  <c r="D80" i="5"/>
  <c r="E80" i="5" s="1"/>
  <c r="I33" i="4" s="1"/>
  <c r="H79" i="5"/>
  <c r="F79" i="5"/>
  <c r="G79" i="5" s="1"/>
  <c r="D79" i="5"/>
  <c r="E79" i="5" s="1"/>
  <c r="H78" i="5"/>
  <c r="F78" i="5"/>
  <c r="G78" i="5" s="1"/>
  <c r="D78" i="5"/>
  <c r="E78" i="5" s="1"/>
  <c r="H77" i="5"/>
  <c r="F77" i="5"/>
  <c r="G77" i="5" s="1"/>
  <c r="E25" i="6" s="1"/>
  <c r="D77" i="5"/>
  <c r="E77" i="5" s="1"/>
  <c r="H76" i="5"/>
  <c r="F76" i="5"/>
  <c r="G76" i="5" s="1"/>
  <c r="D76" i="5"/>
  <c r="E76" i="5" s="1"/>
  <c r="H75" i="5"/>
  <c r="F75" i="5"/>
  <c r="G75" i="5" s="1"/>
  <c r="E24" i="6" s="1"/>
  <c r="D75" i="5"/>
  <c r="E75" i="5" s="1"/>
  <c r="I32" i="4" s="1"/>
  <c r="H74" i="5"/>
  <c r="F74" i="5"/>
  <c r="G74" i="5" s="1"/>
  <c r="E23" i="6" s="1"/>
  <c r="D74" i="5"/>
  <c r="E74" i="5" s="1"/>
  <c r="I31" i="4" s="1"/>
  <c r="H73" i="5"/>
  <c r="F73" i="5"/>
  <c r="G73" i="5" s="1"/>
  <c r="D73" i="5"/>
  <c r="E73" i="5" s="1"/>
  <c r="H72" i="5"/>
  <c r="F72" i="5"/>
  <c r="G72" i="5" s="1"/>
  <c r="D72" i="5"/>
  <c r="E72" i="5" s="1"/>
  <c r="H71" i="5"/>
  <c r="F71" i="5"/>
  <c r="G71" i="5" s="1"/>
  <c r="E22" i="6" s="1"/>
  <c r="D71" i="5"/>
  <c r="E71" i="5" s="1"/>
  <c r="H70" i="5"/>
  <c r="F70" i="5"/>
  <c r="G70" i="5" s="1"/>
  <c r="D70" i="5"/>
  <c r="E70" i="5" s="1"/>
  <c r="H69" i="5"/>
  <c r="F69" i="5"/>
  <c r="G69" i="5" s="1"/>
  <c r="E21" i="6" s="1"/>
  <c r="D69" i="5"/>
  <c r="E69" i="5" s="1"/>
  <c r="H68" i="5"/>
  <c r="F68" i="5"/>
  <c r="G68" i="5" s="1"/>
  <c r="D68" i="5"/>
  <c r="E68" i="5" s="1"/>
  <c r="H67" i="5"/>
  <c r="F67" i="5"/>
  <c r="G67" i="5" s="1"/>
  <c r="D67" i="5"/>
  <c r="E67" i="5" s="1"/>
  <c r="I21" i="4" s="1"/>
  <c r="H66" i="5"/>
  <c r="F66" i="5"/>
  <c r="G66" i="5" s="1"/>
  <c r="E20" i="6" s="1"/>
  <c r="D66" i="5"/>
  <c r="E66" i="5" s="1"/>
  <c r="H65" i="5"/>
  <c r="F65" i="5"/>
  <c r="G65" i="5" s="1"/>
  <c r="D65" i="5"/>
  <c r="E65" i="5" s="1"/>
  <c r="H64" i="5"/>
  <c r="F64" i="5"/>
  <c r="G64" i="5" s="1"/>
  <c r="D64" i="5"/>
  <c r="E64" i="5" s="1"/>
  <c r="H63" i="5"/>
  <c r="F63" i="5"/>
  <c r="G63" i="5" s="1"/>
  <c r="E19" i="6" s="1"/>
  <c r="D63" i="5"/>
  <c r="E63" i="5" s="1"/>
  <c r="H62" i="5"/>
  <c r="F62" i="5"/>
  <c r="G62" i="5" s="1"/>
  <c r="D62" i="5"/>
  <c r="E62" i="5" s="1"/>
  <c r="H61" i="5"/>
  <c r="F61" i="5"/>
  <c r="G61" i="5" s="1"/>
  <c r="D61" i="5"/>
  <c r="E61" i="5" s="1"/>
  <c r="H60" i="5"/>
  <c r="F60" i="5"/>
  <c r="G60" i="5" s="1"/>
  <c r="D60" i="5"/>
  <c r="E60" i="5" s="1"/>
  <c r="H59" i="5"/>
  <c r="F59" i="5"/>
  <c r="G59" i="5" s="1"/>
  <c r="E18" i="6" s="1"/>
  <c r="D59" i="5"/>
  <c r="E59" i="5" s="1"/>
  <c r="H58" i="5"/>
  <c r="F58" i="5"/>
  <c r="G58" i="5" s="1"/>
  <c r="D58" i="5"/>
  <c r="E58" i="5" s="1"/>
  <c r="H57" i="5"/>
  <c r="F57" i="5"/>
  <c r="G57" i="5" s="1"/>
  <c r="D57" i="5"/>
  <c r="E57" i="5" s="1"/>
  <c r="H56" i="5"/>
  <c r="F56" i="5"/>
  <c r="G56" i="5" s="1"/>
  <c r="D56" i="5"/>
  <c r="E56" i="5" s="1"/>
  <c r="H55" i="5"/>
  <c r="F55" i="5"/>
  <c r="G55" i="5" s="1"/>
  <c r="E17" i="6" s="1"/>
  <c r="D55" i="5"/>
  <c r="E55" i="5" s="1"/>
  <c r="I17" i="4" s="1"/>
  <c r="H54" i="5"/>
  <c r="F54" i="5"/>
  <c r="G54" i="5" s="1"/>
  <c r="D54" i="5"/>
  <c r="E54" i="5" s="1"/>
  <c r="H53" i="5"/>
  <c r="F53" i="5"/>
  <c r="G53" i="5" s="1"/>
  <c r="D53" i="5"/>
  <c r="E53" i="5" s="1"/>
  <c r="H52" i="5"/>
  <c r="F52" i="5"/>
  <c r="G52" i="5" s="1"/>
  <c r="D52" i="5"/>
  <c r="E52" i="5" s="1"/>
  <c r="H51" i="5"/>
  <c r="F51" i="5"/>
  <c r="G51" i="5" s="1"/>
  <c r="E16" i="6" s="1"/>
  <c r="D51" i="5"/>
  <c r="E51" i="5" s="1"/>
  <c r="H50" i="5"/>
  <c r="F50" i="5"/>
  <c r="G50" i="5" s="1"/>
  <c r="D50" i="5"/>
  <c r="E50" i="5" s="1"/>
  <c r="H49" i="5"/>
  <c r="F49" i="5"/>
  <c r="G49" i="5" s="1"/>
  <c r="D49" i="5"/>
  <c r="E49" i="5" s="1"/>
  <c r="H48" i="5"/>
  <c r="F48" i="5"/>
  <c r="G48" i="5" s="1"/>
  <c r="E15" i="6" s="1"/>
  <c r="D48" i="5"/>
  <c r="E48" i="5" s="1"/>
  <c r="H47" i="5"/>
  <c r="F47" i="5"/>
  <c r="G47" i="5" s="1"/>
  <c r="D47" i="5"/>
  <c r="E47" i="5" s="1"/>
  <c r="H46" i="5"/>
  <c r="F46" i="5"/>
  <c r="G46" i="5" s="1"/>
  <c r="D46" i="5"/>
  <c r="E46" i="5" s="1"/>
  <c r="H45" i="5"/>
  <c r="F45" i="5"/>
  <c r="G45" i="5" s="1"/>
  <c r="D45" i="5"/>
  <c r="E45" i="5" s="1"/>
  <c r="H44" i="5"/>
  <c r="F44" i="5"/>
  <c r="G44" i="5" s="1"/>
  <c r="E14" i="6" s="1"/>
  <c r="D44" i="5"/>
  <c r="E44" i="5" s="1"/>
  <c r="H43" i="5"/>
  <c r="F43" i="5"/>
  <c r="G43" i="5" s="1"/>
  <c r="D43" i="5"/>
  <c r="E43" i="5" s="1"/>
  <c r="H42" i="5"/>
  <c r="F42" i="5"/>
  <c r="G42" i="5" s="1"/>
  <c r="D42" i="5"/>
  <c r="E42" i="5" s="1"/>
  <c r="H41" i="5"/>
  <c r="F41" i="5"/>
  <c r="G41" i="5" s="1"/>
  <c r="D41" i="5"/>
  <c r="E41" i="5" s="1"/>
  <c r="I27" i="4" s="1"/>
  <c r="H40" i="5"/>
  <c r="F40" i="5"/>
  <c r="G40" i="5" s="1"/>
  <c r="E13" i="6" s="1"/>
  <c r="D40" i="5"/>
  <c r="E40" i="5" s="1"/>
  <c r="H39" i="5"/>
  <c r="F39" i="5"/>
  <c r="G39" i="5" s="1"/>
  <c r="D39" i="5"/>
  <c r="E39" i="5" s="1"/>
  <c r="H38" i="5"/>
  <c r="F38" i="5"/>
  <c r="G38" i="5" s="1"/>
  <c r="D38" i="5"/>
  <c r="E38" i="5" s="1"/>
  <c r="H37" i="5"/>
  <c r="F37" i="5"/>
  <c r="G37" i="5" s="1"/>
  <c r="D37" i="5"/>
  <c r="E37" i="5" s="1"/>
  <c r="H36" i="5"/>
  <c r="F36" i="5"/>
  <c r="G36" i="5" s="1"/>
  <c r="D36" i="5"/>
  <c r="E36" i="5" s="1"/>
  <c r="H35" i="5"/>
  <c r="F35" i="5"/>
  <c r="G35" i="5" s="1"/>
  <c r="E12" i="6" s="1"/>
  <c r="D35" i="5"/>
  <c r="E35" i="5" s="1"/>
  <c r="H34" i="5"/>
  <c r="F34" i="5"/>
  <c r="G34" i="5" s="1"/>
  <c r="D34" i="5"/>
  <c r="E34" i="5" s="1"/>
  <c r="H33" i="5"/>
  <c r="F33" i="5"/>
  <c r="G33" i="5" s="1"/>
  <c r="D33" i="5"/>
  <c r="E33" i="5" s="1"/>
  <c r="H32" i="5"/>
  <c r="F32" i="5"/>
  <c r="G32" i="5" s="1"/>
  <c r="D32" i="5"/>
  <c r="E32" i="5" s="1"/>
  <c r="H31" i="5"/>
  <c r="F31" i="5"/>
  <c r="G31" i="5" s="1"/>
  <c r="D31" i="5"/>
  <c r="E31" i="5" s="1"/>
  <c r="I26" i="4" s="1"/>
  <c r="H30" i="5"/>
  <c r="F30" i="5"/>
  <c r="G30" i="5" s="1"/>
  <c r="E11" i="6" s="1"/>
  <c r="D30" i="5"/>
  <c r="E30" i="5" s="1"/>
  <c r="H29" i="5"/>
  <c r="F29" i="5"/>
  <c r="G29" i="5" s="1"/>
  <c r="D29" i="5"/>
  <c r="E29" i="5" s="1"/>
  <c r="H28" i="5"/>
  <c r="F28" i="5"/>
  <c r="G28" i="5" s="1"/>
  <c r="D28" i="5"/>
  <c r="E28" i="5" s="1"/>
  <c r="H27" i="5"/>
  <c r="F27" i="5"/>
  <c r="G27" i="5" s="1"/>
  <c r="D27" i="5"/>
  <c r="E27" i="5" s="1"/>
  <c r="H26" i="5"/>
  <c r="F26" i="5"/>
  <c r="G26" i="5" s="1"/>
  <c r="D26" i="5"/>
  <c r="E26" i="5" s="1"/>
  <c r="H25" i="5"/>
  <c r="F25" i="5"/>
  <c r="G25" i="5" s="1"/>
  <c r="E10" i="6" s="1"/>
  <c r="D25" i="5"/>
  <c r="E25" i="5" s="1"/>
  <c r="H24" i="5"/>
  <c r="F24" i="5"/>
  <c r="G24" i="5" s="1"/>
  <c r="D24" i="5"/>
  <c r="E24" i="5" s="1"/>
  <c r="H23" i="5"/>
  <c r="F23" i="5"/>
  <c r="G23" i="5" s="1"/>
  <c r="D23" i="5"/>
  <c r="E23" i="5" s="1"/>
  <c r="H22" i="5"/>
  <c r="F22" i="5"/>
  <c r="G22" i="5" s="1"/>
  <c r="D22" i="5"/>
  <c r="E22" i="5" s="1"/>
  <c r="H21" i="5"/>
  <c r="F21" i="5"/>
  <c r="G21" i="5" s="1"/>
  <c r="E9" i="6" s="1"/>
  <c r="D21" i="5"/>
  <c r="E21" i="5" s="1"/>
  <c r="I9" i="4" s="1"/>
  <c r="H20" i="5"/>
  <c r="F20" i="5"/>
  <c r="G20" i="5" s="1"/>
  <c r="D20" i="5"/>
  <c r="E20" i="5" s="1"/>
  <c r="H19" i="5"/>
  <c r="F19" i="5"/>
  <c r="G19" i="5" s="1"/>
  <c r="D19" i="5"/>
  <c r="E19" i="5" s="1"/>
  <c r="H18" i="5"/>
  <c r="F18" i="5"/>
  <c r="G18" i="5" s="1"/>
  <c r="D18" i="5"/>
  <c r="E18" i="5" s="1"/>
  <c r="H17" i="5"/>
  <c r="F17" i="5"/>
  <c r="G17" i="5" s="1"/>
  <c r="E8" i="6" s="1"/>
  <c r="D17" i="5"/>
  <c r="E17" i="5" s="1"/>
  <c r="I8" i="4" s="1"/>
  <c r="H16" i="5"/>
  <c r="F16" i="5"/>
  <c r="G16" i="5" s="1"/>
  <c r="D16" i="5"/>
  <c r="E16" i="5" s="1"/>
  <c r="H15" i="5"/>
  <c r="F15" i="5"/>
  <c r="G15" i="5" s="1"/>
  <c r="D15" i="5"/>
  <c r="E15" i="5" s="1"/>
  <c r="H14" i="5"/>
  <c r="F14" i="5"/>
  <c r="G14" i="5" s="1"/>
  <c r="D14" i="5"/>
  <c r="E14" i="5" s="1"/>
  <c r="H13" i="5"/>
  <c r="F13" i="5"/>
  <c r="G13" i="5" s="1"/>
  <c r="D13" i="5"/>
  <c r="E13" i="5" s="1"/>
  <c r="H12" i="5"/>
  <c r="F12" i="5"/>
  <c r="G12" i="5" s="1"/>
  <c r="D12" i="5"/>
  <c r="E12" i="5" s="1"/>
  <c r="H11" i="5"/>
  <c r="F11" i="5"/>
  <c r="G11" i="5" s="1"/>
  <c r="D11" i="5"/>
  <c r="E11" i="5" s="1"/>
  <c r="H10" i="5"/>
  <c r="F10" i="5"/>
  <c r="G10" i="5" s="1"/>
  <c r="D10" i="5"/>
  <c r="E10" i="5" s="1"/>
  <c r="H9" i="5"/>
  <c r="F9" i="5"/>
  <c r="G9" i="5" s="1"/>
  <c r="E6" i="6" s="1"/>
  <c r="D9" i="5"/>
  <c r="E9" i="5" s="1"/>
  <c r="H8" i="5"/>
  <c r="F8" i="5"/>
  <c r="G8" i="5" s="1"/>
  <c r="D8" i="5"/>
  <c r="E8" i="5" s="1"/>
  <c r="H7" i="5"/>
  <c r="F7" i="5"/>
  <c r="G7" i="5" s="1"/>
  <c r="D7" i="5"/>
  <c r="E7" i="5" s="1"/>
  <c r="H6" i="5"/>
  <c r="F6" i="5"/>
  <c r="G6" i="5" s="1"/>
  <c r="D6" i="5"/>
  <c r="E6" i="5" s="1"/>
  <c r="H5" i="5"/>
  <c r="F5" i="5"/>
  <c r="G5" i="5" s="1"/>
  <c r="E5" i="6" s="1"/>
  <c r="D5" i="5"/>
  <c r="E5" i="5" s="1"/>
  <c r="N124" i="4"/>
  <c r="M124" i="4"/>
  <c r="K124" i="4"/>
  <c r="J124" i="4"/>
  <c r="I124" i="4"/>
  <c r="L124" i="4" s="1"/>
  <c r="H124" i="4"/>
  <c r="N123" i="4"/>
  <c r="M123" i="4"/>
  <c r="K123" i="4"/>
  <c r="J123" i="4"/>
  <c r="I123" i="4"/>
  <c r="L123" i="4" s="1"/>
  <c r="H123" i="4"/>
  <c r="N122" i="4"/>
  <c r="M122" i="4"/>
  <c r="K122" i="4"/>
  <c r="J122" i="4"/>
  <c r="I122" i="4"/>
  <c r="L122" i="4" s="1"/>
  <c r="H122" i="4"/>
  <c r="N121" i="4"/>
  <c r="M121" i="4"/>
  <c r="K121" i="4"/>
  <c r="J121" i="4"/>
  <c r="I121" i="4"/>
  <c r="L121" i="4" s="1"/>
  <c r="H121" i="4"/>
  <c r="N120" i="4"/>
  <c r="M120" i="4"/>
  <c r="K120" i="4"/>
  <c r="J120" i="4"/>
  <c r="I120" i="4"/>
  <c r="L120" i="4" s="1"/>
  <c r="H120" i="4"/>
  <c r="N119" i="4"/>
  <c r="M119" i="4"/>
  <c r="K119" i="4"/>
  <c r="J119" i="4"/>
  <c r="I119" i="4"/>
  <c r="L119" i="4" s="1"/>
  <c r="H119" i="4"/>
  <c r="N118" i="4"/>
  <c r="M118" i="4"/>
  <c r="K118" i="4"/>
  <c r="J118" i="4"/>
  <c r="I118" i="4"/>
  <c r="L118" i="4" s="1"/>
  <c r="H118" i="4"/>
  <c r="N117" i="4"/>
  <c r="M117" i="4"/>
  <c r="K117" i="4"/>
  <c r="J117" i="4"/>
  <c r="I117" i="4"/>
  <c r="L117" i="4" s="1"/>
  <c r="H117" i="4"/>
  <c r="N116" i="4"/>
  <c r="M116" i="4"/>
  <c r="K116" i="4"/>
  <c r="J116" i="4"/>
  <c r="I116" i="4"/>
  <c r="L116" i="4" s="1"/>
  <c r="H116" i="4"/>
  <c r="N115" i="4"/>
  <c r="M115" i="4"/>
  <c r="K115" i="4"/>
  <c r="J115" i="4"/>
  <c r="I115" i="4"/>
  <c r="L115" i="4" s="1"/>
  <c r="H115" i="4"/>
  <c r="N114" i="4"/>
  <c r="M114" i="4"/>
  <c r="K114" i="4"/>
  <c r="J114" i="4"/>
  <c r="I114" i="4"/>
  <c r="L114" i="4" s="1"/>
  <c r="H114" i="4"/>
  <c r="N113" i="4"/>
  <c r="M113" i="4"/>
  <c r="K113" i="4"/>
  <c r="J113" i="4"/>
  <c r="I113" i="4"/>
  <c r="L113" i="4" s="1"/>
  <c r="H113" i="4"/>
  <c r="N112" i="4"/>
  <c r="M112" i="4"/>
  <c r="K112" i="4"/>
  <c r="J112" i="4"/>
  <c r="I112" i="4"/>
  <c r="L112" i="4" s="1"/>
  <c r="H112" i="4"/>
  <c r="N111" i="4"/>
  <c r="M111" i="4"/>
  <c r="K111" i="4"/>
  <c r="J111" i="4"/>
  <c r="I111" i="4"/>
  <c r="L111" i="4" s="1"/>
  <c r="H111" i="4"/>
  <c r="N110" i="4"/>
  <c r="M110" i="4"/>
  <c r="K110" i="4"/>
  <c r="J110" i="4"/>
  <c r="I110" i="4"/>
  <c r="L110" i="4" s="1"/>
  <c r="H110" i="4"/>
  <c r="N109" i="4"/>
  <c r="M109" i="4"/>
  <c r="K109" i="4"/>
  <c r="J109" i="4"/>
  <c r="I109" i="4"/>
  <c r="L109" i="4" s="1"/>
  <c r="H109" i="4"/>
  <c r="N108" i="4"/>
  <c r="M108" i="4"/>
  <c r="K108" i="4"/>
  <c r="J108" i="4"/>
  <c r="I108" i="4"/>
  <c r="L108" i="4" s="1"/>
  <c r="H108" i="4"/>
  <c r="N107" i="4"/>
  <c r="M107" i="4"/>
  <c r="K107" i="4"/>
  <c r="J107" i="4"/>
  <c r="I107" i="4"/>
  <c r="L107" i="4" s="1"/>
  <c r="H107" i="4"/>
  <c r="N106" i="4"/>
  <c r="M106" i="4"/>
  <c r="K106" i="4"/>
  <c r="J106" i="4"/>
  <c r="I106" i="4"/>
  <c r="L106" i="4" s="1"/>
  <c r="H106" i="4"/>
  <c r="N105" i="4"/>
  <c r="M105" i="4"/>
  <c r="K105" i="4"/>
  <c r="J105" i="4"/>
  <c r="I105" i="4"/>
  <c r="L105" i="4" s="1"/>
  <c r="H105" i="4"/>
  <c r="N104" i="4"/>
  <c r="M104" i="4"/>
  <c r="K104" i="4"/>
  <c r="J104" i="4"/>
  <c r="I104" i="4"/>
  <c r="L104" i="4" s="1"/>
  <c r="H104" i="4"/>
  <c r="N103" i="4"/>
  <c r="M103" i="4"/>
  <c r="K103" i="4"/>
  <c r="J103" i="4"/>
  <c r="I103" i="4"/>
  <c r="L103" i="4" s="1"/>
  <c r="H103" i="4"/>
  <c r="N102" i="4"/>
  <c r="M102" i="4"/>
  <c r="K102" i="4"/>
  <c r="J102" i="4"/>
  <c r="I102" i="4"/>
  <c r="L102" i="4" s="1"/>
  <c r="H102" i="4"/>
  <c r="N101" i="4"/>
  <c r="M101" i="4"/>
  <c r="K101" i="4"/>
  <c r="J101" i="4"/>
  <c r="I101" i="4"/>
  <c r="L101" i="4" s="1"/>
  <c r="H101" i="4"/>
  <c r="N100" i="4"/>
  <c r="M100" i="4"/>
  <c r="K100" i="4"/>
  <c r="J100" i="4"/>
  <c r="I100" i="4"/>
  <c r="L100" i="4" s="1"/>
  <c r="H100" i="4"/>
  <c r="N99" i="4"/>
  <c r="M99" i="4"/>
  <c r="K99" i="4"/>
  <c r="J99" i="4"/>
  <c r="I99" i="4"/>
  <c r="L99" i="4" s="1"/>
  <c r="H99" i="4"/>
  <c r="N98" i="4"/>
  <c r="M98" i="4"/>
  <c r="K98" i="4"/>
  <c r="J98" i="4"/>
  <c r="I98" i="4"/>
  <c r="L98" i="4" s="1"/>
  <c r="H98" i="4"/>
  <c r="N97" i="4"/>
  <c r="M97" i="4"/>
  <c r="K97" i="4"/>
  <c r="J97" i="4"/>
  <c r="I97" i="4"/>
  <c r="L97" i="4" s="1"/>
  <c r="H97" i="4"/>
  <c r="N96" i="4"/>
  <c r="M96" i="4"/>
  <c r="K96" i="4"/>
  <c r="J96" i="4"/>
  <c r="I96" i="4"/>
  <c r="L96" i="4" s="1"/>
  <c r="H96" i="4"/>
  <c r="N95" i="4"/>
  <c r="M95" i="4"/>
  <c r="K95" i="4"/>
  <c r="J95" i="4"/>
  <c r="I95" i="4"/>
  <c r="L95" i="4" s="1"/>
  <c r="H95" i="4"/>
  <c r="N94" i="4"/>
  <c r="M94" i="4"/>
  <c r="K94" i="4"/>
  <c r="J94" i="4"/>
  <c r="I94" i="4"/>
  <c r="L94" i="4" s="1"/>
  <c r="H94" i="4"/>
  <c r="N93" i="4"/>
  <c r="M93" i="4"/>
  <c r="K93" i="4"/>
  <c r="J93" i="4"/>
  <c r="I93" i="4"/>
  <c r="L93" i="4" s="1"/>
  <c r="H93" i="4"/>
  <c r="N92" i="4"/>
  <c r="M92" i="4"/>
  <c r="K92" i="4"/>
  <c r="J92" i="4"/>
  <c r="I92" i="4"/>
  <c r="L92" i="4" s="1"/>
  <c r="H92" i="4"/>
  <c r="N91" i="4"/>
  <c r="M91" i="4"/>
  <c r="K91" i="4"/>
  <c r="J91" i="4"/>
  <c r="I91" i="4"/>
  <c r="L91" i="4" s="1"/>
  <c r="H91" i="4"/>
  <c r="N90" i="4"/>
  <c r="M90" i="4"/>
  <c r="K90" i="4"/>
  <c r="J90" i="4"/>
  <c r="I90" i="4"/>
  <c r="L90" i="4" s="1"/>
  <c r="H90" i="4"/>
  <c r="N89" i="4"/>
  <c r="M89" i="4"/>
  <c r="K89" i="4"/>
  <c r="J89" i="4"/>
  <c r="I89" i="4"/>
  <c r="L89" i="4" s="1"/>
  <c r="H89" i="4"/>
  <c r="N88" i="4"/>
  <c r="M88" i="4"/>
  <c r="K88" i="4"/>
  <c r="J88" i="4"/>
  <c r="I88" i="4"/>
  <c r="L88" i="4" s="1"/>
  <c r="H88" i="4"/>
  <c r="N87" i="4"/>
  <c r="M87" i="4"/>
  <c r="K87" i="4"/>
  <c r="J87" i="4"/>
  <c r="I87" i="4"/>
  <c r="L87" i="4" s="1"/>
  <c r="H87" i="4"/>
  <c r="N86" i="4"/>
  <c r="M86" i="4"/>
  <c r="K86" i="4"/>
  <c r="J86" i="4"/>
  <c r="I86" i="4"/>
  <c r="L86" i="4" s="1"/>
  <c r="H86" i="4"/>
  <c r="N85" i="4"/>
  <c r="M85" i="4"/>
  <c r="K85" i="4"/>
  <c r="J85" i="4"/>
  <c r="I85" i="4"/>
  <c r="L85" i="4" s="1"/>
  <c r="H85" i="4"/>
  <c r="N84" i="4"/>
  <c r="M84" i="4"/>
  <c r="K84" i="4"/>
  <c r="J84" i="4"/>
  <c r="I84" i="4"/>
  <c r="L84" i="4" s="1"/>
  <c r="H84" i="4"/>
  <c r="N83" i="4"/>
  <c r="M83" i="4"/>
  <c r="K83" i="4"/>
  <c r="J83" i="4"/>
  <c r="I83" i="4"/>
  <c r="L83" i="4" s="1"/>
  <c r="H83" i="4"/>
  <c r="N82" i="4"/>
  <c r="M82" i="4"/>
  <c r="K82" i="4"/>
  <c r="J82" i="4"/>
  <c r="I82" i="4"/>
  <c r="L82" i="4" s="1"/>
  <c r="H82" i="4"/>
  <c r="N81" i="4"/>
  <c r="M81" i="4"/>
  <c r="K81" i="4"/>
  <c r="J81" i="4"/>
  <c r="I81" i="4"/>
  <c r="L81" i="4" s="1"/>
  <c r="H81" i="4"/>
  <c r="N80" i="4"/>
  <c r="M80" i="4"/>
  <c r="K80" i="4"/>
  <c r="J80" i="4"/>
  <c r="I80" i="4"/>
  <c r="L80" i="4" s="1"/>
  <c r="H80" i="4"/>
  <c r="N79" i="4"/>
  <c r="M79" i="4"/>
  <c r="K79" i="4"/>
  <c r="J79" i="4"/>
  <c r="I79" i="4"/>
  <c r="L79" i="4" s="1"/>
  <c r="H79" i="4"/>
  <c r="N78" i="4"/>
  <c r="M78" i="4"/>
  <c r="K78" i="4"/>
  <c r="J78" i="4"/>
  <c r="I78" i="4"/>
  <c r="L78" i="4" s="1"/>
  <c r="H78" i="4"/>
  <c r="N77" i="4"/>
  <c r="M77" i="4"/>
  <c r="K77" i="4"/>
  <c r="J77" i="4"/>
  <c r="I77" i="4"/>
  <c r="L77" i="4" s="1"/>
  <c r="H77" i="4"/>
  <c r="N76" i="4"/>
  <c r="M76" i="4"/>
  <c r="K76" i="4"/>
  <c r="J76" i="4"/>
  <c r="I76" i="4"/>
  <c r="L76" i="4" s="1"/>
  <c r="H76" i="4"/>
  <c r="N75" i="4"/>
  <c r="M75" i="4"/>
  <c r="K75" i="4"/>
  <c r="J75" i="4"/>
  <c r="I75" i="4"/>
  <c r="L75" i="4" s="1"/>
  <c r="H75" i="4"/>
  <c r="N74" i="4"/>
  <c r="M74" i="4"/>
  <c r="K74" i="4"/>
  <c r="J74" i="4"/>
  <c r="I74" i="4"/>
  <c r="L74" i="4" s="1"/>
  <c r="H74" i="4"/>
  <c r="N73" i="4"/>
  <c r="M73" i="4"/>
  <c r="K73" i="4"/>
  <c r="J73" i="4"/>
  <c r="I73" i="4"/>
  <c r="L73" i="4" s="1"/>
  <c r="H73" i="4"/>
  <c r="N72" i="4"/>
  <c r="M72" i="4"/>
  <c r="K72" i="4"/>
  <c r="J72" i="4"/>
  <c r="I72" i="4"/>
  <c r="L72" i="4" s="1"/>
  <c r="H72" i="4"/>
  <c r="N71" i="4"/>
  <c r="M71" i="4"/>
  <c r="K71" i="4"/>
  <c r="J71" i="4"/>
  <c r="I71" i="4"/>
  <c r="L71" i="4" s="1"/>
  <c r="H71" i="4"/>
  <c r="N70" i="4"/>
  <c r="M70" i="4"/>
  <c r="K70" i="4"/>
  <c r="J70" i="4"/>
  <c r="I70" i="4"/>
  <c r="L70" i="4" s="1"/>
  <c r="H70" i="4"/>
  <c r="N69" i="4"/>
  <c r="M69" i="4"/>
  <c r="K69" i="4"/>
  <c r="J69" i="4"/>
  <c r="I69" i="4"/>
  <c r="L69" i="4" s="1"/>
  <c r="H69" i="4"/>
  <c r="N68" i="4"/>
  <c r="M68" i="4"/>
  <c r="K68" i="4"/>
  <c r="J68" i="4"/>
  <c r="I68" i="4"/>
  <c r="L68" i="4" s="1"/>
  <c r="H68" i="4"/>
  <c r="N67" i="4"/>
  <c r="M67" i="4"/>
  <c r="K67" i="4"/>
  <c r="J67" i="4"/>
  <c r="I67" i="4"/>
  <c r="L67" i="4" s="1"/>
  <c r="H67" i="4"/>
  <c r="N66" i="4"/>
  <c r="M66" i="4"/>
  <c r="K66" i="4"/>
  <c r="J66" i="4"/>
  <c r="I66" i="4"/>
  <c r="L66" i="4" s="1"/>
  <c r="H66" i="4"/>
  <c r="N65" i="4"/>
  <c r="M65" i="4"/>
  <c r="K65" i="4"/>
  <c r="J65" i="4"/>
  <c r="I65" i="4"/>
  <c r="L65" i="4" s="1"/>
  <c r="H65" i="4"/>
  <c r="N64" i="4"/>
  <c r="M64" i="4"/>
  <c r="K64" i="4"/>
  <c r="J64" i="4"/>
  <c r="I64" i="4"/>
  <c r="L64" i="4" s="1"/>
  <c r="H64" i="4"/>
  <c r="N63" i="4"/>
  <c r="M63" i="4"/>
  <c r="K63" i="4"/>
  <c r="J63" i="4"/>
  <c r="I63" i="4"/>
  <c r="L63" i="4" s="1"/>
  <c r="H63" i="4"/>
  <c r="N62" i="4"/>
  <c r="M62" i="4"/>
  <c r="K62" i="4"/>
  <c r="J62" i="4"/>
  <c r="I62" i="4"/>
  <c r="L62" i="4" s="1"/>
  <c r="H62" i="4"/>
  <c r="N61" i="4"/>
  <c r="M61" i="4"/>
  <c r="K61" i="4"/>
  <c r="J61" i="4"/>
  <c r="I61" i="4"/>
  <c r="L61" i="4" s="1"/>
  <c r="H61" i="4"/>
  <c r="N60" i="4"/>
  <c r="M60" i="4"/>
  <c r="K60" i="4"/>
  <c r="J60" i="4"/>
  <c r="I60" i="4"/>
  <c r="L60" i="4" s="1"/>
  <c r="H60" i="4"/>
  <c r="N59" i="4"/>
  <c r="M59" i="4"/>
  <c r="K59" i="4"/>
  <c r="J59" i="4"/>
  <c r="I59" i="4"/>
  <c r="L59" i="4" s="1"/>
  <c r="H59" i="4"/>
  <c r="N58" i="4"/>
  <c r="M58" i="4"/>
  <c r="K58" i="4"/>
  <c r="J58" i="4"/>
  <c r="I58" i="4"/>
  <c r="L58" i="4" s="1"/>
  <c r="H58" i="4"/>
  <c r="N57" i="4"/>
  <c r="M57" i="4"/>
  <c r="K57" i="4"/>
  <c r="J57" i="4"/>
  <c r="I57" i="4"/>
  <c r="L57" i="4" s="1"/>
  <c r="H57" i="4"/>
  <c r="N56" i="4"/>
  <c r="M56" i="4"/>
  <c r="K56" i="4"/>
  <c r="J56" i="4"/>
  <c r="I56" i="4"/>
  <c r="L56" i="4" s="1"/>
  <c r="H56" i="4"/>
  <c r="N55" i="4"/>
  <c r="M55" i="4"/>
  <c r="K55" i="4"/>
  <c r="J55" i="4"/>
  <c r="I55" i="4"/>
  <c r="L55" i="4" s="1"/>
  <c r="H55" i="4"/>
  <c r="N54" i="4"/>
  <c r="M54" i="4"/>
  <c r="K54" i="4"/>
  <c r="J54" i="4"/>
  <c r="I54" i="4"/>
  <c r="L54" i="4" s="1"/>
  <c r="H54" i="4"/>
  <c r="N53" i="4"/>
  <c r="M53" i="4"/>
  <c r="K53" i="4"/>
  <c r="J53" i="4"/>
  <c r="I53" i="4"/>
  <c r="L53" i="4" s="1"/>
  <c r="H53" i="4"/>
  <c r="N52" i="4"/>
  <c r="M52" i="4"/>
  <c r="K52" i="4"/>
  <c r="J52" i="4"/>
  <c r="I52" i="4"/>
  <c r="L52" i="4" s="1"/>
  <c r="H52" i="4"/>
  <c r="N51" i="4"/>
  <c r="M51" i="4"/>
  <c r="K51" i="4"/>
  <c r="J51" i="4"/>
  <c r="I51" i="4"/>
  <c r="L51" i="4" s="1"/>
  <c r="H51" i="4"/>
  <c r="N50" i="4"/>
  <c r="M50" i="4"/>
  <c r="K50" i="4"/>
  <c r="J50" i="4"/>
  <c r="I50" i="4"/>
  <c r="L50" i="4" s="1"/>
  <c r="H50" i="4"/>
  <c r="N49" i="4"/>
  <c r="M49" i="4"/>
  <c r="K49" i="4"/>
  <c r="J49" i="4"/>
  <c r="I49" i="4"/>
  <c r="L49" i="4" s="1"/>
  <c r="H49" i="4"/>
  <c r="N48" i="4"/>
  <c r="M48" i="4"/>
  <c r="K48" i="4"/>
  <c r="J48" i="4"/>
  <c r="I48" i="4"/>
  <c r="L48" i="4" s="1"/>
  <c r="H48" i="4"/>
  <c r="N47" i="4"/>
  <c r="M47" i="4"/>
  <c r="K47" i="4"/>
  <c r="J47" i="4"/>
  <c r="I47" i="4"/>
  <c r="L47" i="4" s="1"/>
  <c r="H47" i="4"/>
  <c r="N46" i="4"/>
  <c r="M46" i="4"/>
  <c r="K46" i="4"/>
  <c r="J46" i="4"/>
  <c r="I46" i="4"/>
  <c r="L46" i="4" s="1"/>
  <c r="H46" i="4"/>
  <c r="N45" i="4"/>
  <c r="M45" i="4"/>
  <c r="K45" i="4"/>
  <c r="J45" i="4"/>
  <c r="I45" i="4"/>
  <c r="L45" i="4" s="1"/>
  <c r="H45" i="4"/>
  <c r="N44" i="4"/>
  <c r="M44" i="4"/>
  <c r="K44" i="4"/>
  <c r="J44" i="4"/>
  <c r="I44" i="4"/>
  <c r="L44" i="4" s="1"/>
  <c r="H44" i="4"/>
  <c r="N43" i="4"/>
  <c r="M43" i="4"/>
  <c r="K43" i="4"/>
  <c r="J43" i="4"/>
  <c r="I43" i="4"/>
  <c r="L43" i="4" s="1"/>
  <c r="H43" i="4"/>
  <c r="N42" i="4"/>
  <c r="M42" i="4"/>
  <c r="K42" i="4"/>
  <c r="J42" i="4"/>
  <c r="I42" i="4"/>
  <c r="L42" i="4" s="1"/>
  <c r="H42" i="4"/>
  <c r="N41" i="4"/>
  <c r="M41" i="4"/>
  <c r="K41" i="4"/>
  <c r="J41" i="4"/>
  <c r="I41" i="4"/>
  <c r="L41" i="4" s="1"/>
  <c r="H41" i="4"/>
  <c r="N40" i="4"/>
  <c r="M40" i="4"/>
  <c r="K40" i="4"/>
  <c r="J40" i="4"/>
  <c r="I40" i="4"/>
  <c r="L40" i="4" s="1"/>
  <c r="H40" i="4"/>
  <c r="N39" i="4"/>
  <c r="M39" i="4"/>
  <c r="K39" i="4"/>
  <c r="J39" i="4"/>
  <c r="I39" i="4"/>
  <c r="L39" i="4" s="1"/>
  <c r="H39" i="4"/>
  <c r="N38" i="4"/>
  <c r="M38" i="4"/>
  <c r="K38" i="4"/>
  <c r="J38" i="4"/>
  <c r="I38" i="4"/>
  <c r="L38" i="4" s="1"/>
  <c r="H38" i="4"/>
  <c r="N37" i="4"/>
  <c r="M37" i="4"/>
  <c r="K37" i="4"/>
  <c r="J37" i="4"/>
  <c r="I37" i="4"/>
  <c r="L37" i="4" s="1"/>
  <c r="H37" i="4"/>
  <c r="N36" i="4"/>
  <c r="M36" i="4"/>
  <c r="K36" i="4"/>
  <c r="J36" i="4"/>
  <c r="I36" i="4"/>
  <c r="L36" i="4" s="1"/>
  <c r="H36" i="4"/>
  <c r="N35" i="4"/>
  <c r="M35" i="4"/>
  <c r="K35" i="4"/>
  <c r="J35" i="4"/>
  <c r="I35" i="4"/>
  <c r="L35" i="4" s="1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I11" i="4"/>
  <c r="H11" i="4"/>
  <c r="H10" i="4"/>
  <c r="H9" i="4"/>
  <c r="H8" i="4"/>
  <c r="H7" i="4"/>
  <c r="H6" i="4"/>
  <c r="H5" i="4"/>
  <c r="F63" i="1"/>
  <c r="D63" i="1"/>
  <c r="C63" i="1"/>
  <c r="C62" i="1"/>
  <c r="C61" i="1"/>
  <c r="C60" i="1"/>
  <c r="C59" i="1"/>
  <c r="I53" i="1"/>
  <c r="H53" i="1"/>
  <c r="F53" i="1"/>
  <c r="E53" i="1"/>
  <c r="D53" i="1"/>
  <c r="C53" i="1"/>
  <c r="I52" i="1"/>
  <c r="H52" i="1"/>
  <c r="F52" i="1"/>
  <c r="E52" i="1"/>
  <c r="D52" i="1"/>
  <c r="C52" i="1"/>
  <c r="I51" i="1"/>
  <c r="H51" i="1"/>
  <c r="F51" i="1"/>
  <c r="E51" i="1"/>
  <c r="D51" i="1"/>
  <c r="C51" i="1"/>
  <c r="C50" i="1"/>
  <c r="C49" i="1"/>
  <c r="C48" i="1"/>
  <c r="C41" i="1"/>
  <c r="C40" i="1"/>
  <c r="C39" i="1"/>
  <c r="C38" i="1"/>
  <c r="F8" i="1"/>
  <c r="I15" i="4" l="1"/>
  <c r="J15" i="4" s="1"/>
  <c r="I20" i="4"/>
  <c r="J20" i="4" s="1"/>
  <c r="I24" i="4"/>
  <c r="N24" i="4" s="1"/>
  <c r="I14" i="4"/>
  <c r="J14" i="4" s="1"/>
  <c r="I13" i="4"/>
  <c r="J13" i="4" s="1"/>
  <c r="I29" i="4"/>
  <c r="I22" i="4"/>
  <c r="I5" i="4"/>
  <c r="J5" i="4" s="1"/>
  <c r="I25" i="4"/>
  <c r="I19" i="4"/>
  <c r="I18" i="4"/>
  <c r="I16" i="4"/>
  <c r="I23" i="4"/>
  <c r="I34" i="4"/>
  <c r="I30" i="4"/>
  <c r="E7" i="6"/>
  <c r="I7" i="4"/>
  <c r="I6" i="4"/>
  <c r="I28" i="4"/>
  <c r="I12" i="4"/>
  <c r="I10" i="4"/>
  <c r="G52" i="1"/>
  <c r="G63" i="1"/>
  <c r="G53" i="1"/>
  <c r="G51" i="1"/>
  <c r="L104" i="7"/>
  <c r="M104" i="7"/>
  <c r="L103" i="7"/>
  <c r="M103" i="7"/>
  <c r="L102" i="7"/>
  <c r="M102" i="7"/>
  <c r="L101" i="7"/>
  <c r="M101" i="7" s="1"/>
  <c r="L100" i="7"/>
  <c r="M100" i="7" s="1"/>
  <c r="L99" i="7"/>
  <c r="M99" i="7" s="1"/>
  <c r="L98" i="7"/>
  <c r="M98" i="7" s="1"/>
  <c r="L97" i="7"/>
  <c r="M97" i="7"/>
  <c r="L96" i="7"/>
  <c r="M96" i="7" s="1"/>
  <c r="L95" i="7"/>
  <c r="M95" i="7" s="1"/>
  <c r="L94" i="7"/>
  <c r="M94" i="7" s="1"/>
  <c r="L93" i="7"/>
  <c r="M93" i="7" s="1"/>
  <c r="L92" i="7"/>
  <c r="M92" i="7" s="1"/>
  <c r="L91" i="7"/>
  <c r="M91" i="7"/>
  <c r="L90" i="7"/>
  <c r="M90" i="7" s="1"/>
  <c r="L89" i="7"/>
  <c r="M89" i="7"/>
  <c r="L88" i="7"/>
  <c r="M88" i="7" s="1"/>
  <c r="L87" i="7"/>
  <c r="M87" i="7" s="1"/>
  <c r="L86" i="7"/>
  <c r="M86" i="7" s="1"/>
  <c r="L85" i="7"/>
  <c r="M85" i="7" s="1"/>
  <c r="L84" i="7"/>
  <c r="M84" i="7" s="1"/>
  <c r="L83" i="7"/>
  <c r="M83" i="7" s="1"/>
  <c r="L82" i="7"/>
  <c r="M82" i="7" s="1"/>
  <c r="L81" i="7"/>
  <c r="M81" i="7" s="1"/>
  <c r="L80" i="7"/>
  <c r="M80" i="7"/>
  <c r="L79" i="7"/>
  <c r="M79" i="7"/>
  <c r="L78" i="7"/>
  <c r="M78" i="7" s="1"/>
  <c r="L77" i="7"/>
  <c r="M77" i="7" s="1"/>
  <c r="L76" i="7"/>
  <c r="M76" i="7" s="1"/>
  <c r="L75" i="7"/>
  <c r="M75" i="7" s="1"/>
  <c r="L74" i="7"/>
  <c r="M74" i="7"/>
  <c r="L73" i="7"/>
  <c r="M73" i="7" s="1"/>
  <c r="L72" i="7"/>
  <c r="M72" i="7" s="1"/>
  <c r="L71" i="7"/>
  <c r="M71" i="7" s="1"/>
  <c r="L70" i="7"/>
  <c r="M70" i="7" s="1"/>
  <c r="L69" i="7"/>
  <c r="M69" i="7" s="1"/>
  <c r="L68" i="7"/>
  <c r="M68" i="7" s="1"/>
  <c r="L67" i="7"/>
  <c r="M67" i="7" s="1"/>
  <c r="L66" i="7"/>
  <c r="M66" i="7" s="1"/>
  <c r="L65" i="7"/>
  <c r="M65" i="7" s="1"/>
  <c r="L64" i="7"/>
  <c r="M64" i="7"/>
  <c r="L63" i="7"/>
  <c r="M63" i="7" s="1"/>
  <c r="L62" i="7"/>
  <c r="M62" i="7" s="1"/>
  <c r="L61" i="7"/>
  <c r="M61" i="7"/>
  <c r="L60" i="7"/>
  <c r="M60" i="7" s="1"/>
  <c r="L59" i="7"/>
  <c r="M59" i="7"/>
  <c r="L58" i="7"/>
  <c r="M58" i="7"/>
  <c r="L57" i="7"/>
  <c r="M57" i="7" s="1"/>
  <c r="L56" i="7"/>
  <c r="M56" i="7" s="1"/>
  <c r="L55" i="7"/>
  <c r="M55" i="7" s="1"/>
  <c r="L54" i="7"/>
  <c r="M54" i="7" s="1"/>
  <c r="L53" i="7"/>
  <c r="M53" i="7"/>
  <c r="L52" i="7"/>
  <c r="M52" i="7" s="1"/>
  <c r="L51" i="7"/>
  <c r="M51" i="7" s="1"/>
  <c r="L50" i="7"/>
  <c r="M50" i="7" s="1"/>
  <c r="L49" i="7"/>
  <c r="M49" i="7" s="1"/>
  <c r="L48" i="7"/>
  <c r="M48" i="7"/>
  <c r="L47" i="7"/>
  <c r="M47" i="7" s="1"/>
  <c r="L46" i="7"/>
  <c r="M46" i="7"/>
  <c r="L45" i="7"/>
  <c r="M45" i="7" s="1"/>
  <c r="L44" i="7"/>
  <c r="M44" i="7" s="1"/>
  <c r="L43" i="7"/>
  <c r="M43" i="7"/>
  <c r="L42" i="7"/>
  <c r="M42" i="7" s="1"/>
  <c r="L41" i="7"/>
  <c r="M41" i="7" s="1"/>
  <c r="L40" i="7"/>
  <c r="M40" i="7" s="1"/>
  <c r="L39" i="7"/>
  <c r="M39" i="7" s="1"/>
  <c r="L38" i="7"/>
  <c r="M38" i="7"/>
  <c r="L37" i="7"/>
  <c r="M37" i="7" s="1"/>
  <c r="L36" i="7"/>
  <c r="M36" i="7" s="1"/>
  <c r="L35" i="7"/>
  <c r="M35" i="7" s="1"/>
  <c r="L34" i="7"/>
  <c r="M34" i="7" s="1"/>
  <c r="L33" i="7"/>
  <c r="M33" i="7"/>
  <c r="L32" i="7"/>
  <c r="M32" i="7" s="1"/>
  <c r="L31" i="7"/>
  <c r="M31" i="7" s="1"/>
  <c r="L30" i="7"/>
  <c r="M30" i="7" s="1"/>
  <c r="L29" i="7"/>
  <c r="M29" i="7" s="1"/>
  <c r="L28" i="7"/>
  <c r="M28" i="7"/>
  <c r="L27" i="7"/>
  <c r="M27" i="7"/>
  <c r="L26" i="7"/>
  <c r="M26" i="7"/>
  <c r="L25" i="7"/>
  <c r="M25" i="7" s="1"/>
  <c r="L24" i="7"/>
  <c r="M24" i="7"/>
  <c r="L23" i="7"/>
  <c r="M23" i="7"/>
  <c r="L22" i="7"/>
  <c r="M22" i="7" s="1"/>
  <c r="L21" i="7"/>
  <c r="M21" i="7"/>
  <c r="L20" i="7"/>
  <c r="M20" i="7"/>
  <c r="L19" i="7"/>
  <c r="M19" i="7"/>
  <c r="L18" i="7"/>
  <c r="M18" i="7" s="1"/>
  <c r="L17" i="7"/>
  <c r="M17" i="7"/>
  <c r="L16" i="7"/>
  <c r="M16" i="7" s="1"/>
  <c r="L15" i="7"/>
  <c r="M15" i="7" s="1"/>
  <c r="D61" i="1"/>
  <c r="E61" i="1" s="1"/>
  <c r="L14" i="7"/>
  <c r="M14" i="7" s="1"/>
  <c r="D50" i="1"/>
  <c r="L13" i="7"/>
  <c r="M13" i="7" s="1"/>
  <c r="L12" i="7"/>
  <c r="M12" i="7" s="1"/>
  <c r="D59" i="1"/>
  <c r="E59" i="1" s="1"/>
  <c r="L11" i="7"/>
  <c r="M11" i="7" s="1"/>
  <c r="D49" i="1"/>
  <c r="L10" i="7"/>
  <c r="M10" i="7" s="1"/>
  <c r="L9" i="7"/>
  <c r="M9" i="7" s="1"/>
  <c r="D62" i="1"/>
  <c r="E62" i="1" s="1"/>
  <c r="L8" i="7"/>
  <c r="M8" i="7"/>
  <c r="D39" i="1"/>
  <c r="E39" i="1" s="1"/>
  <c r="L7" i="7"/>
  <c r="M7" i="7"/>
  <c r="D40" i="1"/>
  <c r="E40" i="1" s="1"/>
  <c r="L6" i="7"/>
  <c r="M6" i="7"/>
  <c r="D41" i="1"/>
  <c r="E41" i="1" s="1"/>
  <c r="L5" i="7"/>
  <c r="M5" i="7" s="1"/>
  <c r="D60" i="1"/>
  <c r="E60" i="1" s="1"/>
  <c r="B5" i="1"/>
  <c r="D38" i="1"/>
  <c r="E38" i="1" s="1"/>
  <c r="D48" i="1"/>
  <c r="I20" i="6"/>
  <c r="K20" i="6" s="1"/>
  <c r="I18" i="6"/>
  <c r="K18" i="6" s="1"/>
  <c r="I16" i="6"/>
  <c r="K16" i="6" s="1"/>
  <c r="I15" i="6"/>
  <c r="K15" i="6" s="1"/>
  <c r="I17" i="6"/>
  <c r="K17" i="6" s="1"/>
  <c r="I27" i="6"/>
  <c r="K27" i="6" s="1"/>
  <c r="I13" i="6"/>
  <c r="K13" i="6" s="1"/>
  <c r="I14" i="6"/>
  <c r="K14" i="6" s="1"/>
  <c r="I26" i="6"/>
  <c r="K26" i="6" s="1"/>
  <c r="I28" i="6"/>
  <c r="K28" i="6" s="1"/>
  <c r="I19" i="6"/>
  <c r="K19" i="6" s="1"/>
  <c r="I25" i="6"/>
  <c r="K25" i="6" s="1"/>
  <c r="I24" i="6"/>
  <c r="K24" i="6" s="1"/>
  <c r="I23" i="6"/>
  <c r="K23" i="6" s="1"/>
  <c r="I22" i="6"/>
  <c r="K22" i="6" s="1"/>
  <c r="I21" i="6"/>
  <c r="K21" i="6" s="1"/>
  <c r="I5" i="6"/>
  <c r="K5" i="6" s="1"/>
  <c r="I11" i="6"/>
  <c r="K11" i="6" s="1"/>
  <c r="I7" i="6"/>
  <c r="K7" i="6" s="1"/>
  <c r="I12" i="6"/>
  <c r="K12" i="6" s="1"/>
  <c r="I10" i="6"/>
  <c r="K10" i="6" s="1"/>
  <c r="I9" i="6"/>
  <c r="K9" i="6" s="1"/>
  <c r="I8" i="6"/>
  <c r="K8" i="6" s="1"/>
  <c r="I6" i="6"/>
  <c r="K6" i="6" s="1"/>
  <c r="F28" i="6"/>
  <c r="G28" i="6"/>
  <c r="N39" i="7"/>
  <c r="N82" i="7"/>
  <c r="F27" i="6"/>
  <c r="G27" i="6"/>
  <c r="N73" i="7"/>
  <c r="N81" i="7"/>
  <c r="N90" i="7"/>
  <c r="F26" i="6"/>
  <c r="G26" i="6"/>
  <c r="N17" i="7"/>
  <c r="N38" i="7"/>
  <c r="N64" i="7"/>
  <c r="N72" i="7"/>
  <c r="N89" i="7"/>
  <c r="N33" i="4"/>
  <c r="F25" i="6"/>
  <c r="G25" i="6"/>
  <c r="N10" i="7"/>
  <c r="F24" i="6"/>
  <c r="G24" i="6"/>
  <c r="N9" i="7"/>
  <c r="N22" i="7"/>
  <c r="N37" i="7"/>
  <c r="N46" i="7"/>
  <c r="N56" i="7"/>
  <c r="N63" i="7"/>
  <c r="N80" i="7"/>
  <c r="N86" i="7"/>
  <c r="N32" i="4"/>
  <c r="F23" i="6"/>
  <c r="G23" i="6"/>
  <c r="N8" i="7"/>
  <c r="N21" i="7"/>
  <c r="N25" i="7"/>
  <c r="N36" i="7"/>
  <c r="N55" i="7"/>
  <c r="N79" i="7"/>
  <c r="N85" i="7"/>
  <c r="N98" i="7"/>
  <c r="N31" i="4"/>
  <c r="F22" i="6"/>
  <c r="G22" i="6"/>
  <c r="N27" i="7"/>
  <c r="N35" i="7"/>
  <c r="N45" i="7"/>
  <c r="N62" i="7"/>
  <c r="N78" i="7"/>
  <c r="N84" i="7"/>
  <c r="F21" i="6"/>
  <c r="G21" i="6"/>
  <c r="N104" i="7"/>
  <c r="N21" i="4"/>
  <c r="F20" i="6"/>
  <c r="G20" i="6"/>
  <c r="N13" i="7"/>
  <c r="N20" i="7"/>
  <c r="N34" i="7"/>
  <c r="N61" i="7"/>
  <c r="N67" i="7"/>
  <c r="F19" i="6"/>
  <c r="G19" i="6"/>
  <c r="N44" i="7"/>
  <c r="N60" i="7"/>
  <c r="N71" i="7"/>
  <c r="N93" i="7"/>
  <c r="F18" i="6"/>
  <c r="G18" i="6"/>
  <c r="N33" i="7"/>
  <c r="F17" i="6"/>
  <c r="G17" i="6"/>
  <c r="N70" i="7"/>
  <c r="N88" i="7"/>
  <c r="N17" i="4"/>
  <c r="F16" i="6"/>
  <c r="G16" i="6"/>
  <c r="N32" i="7"/>
  <c r="N77" i="7"/>
  <c r="F15" i="6"/>
  <c r="G15" i="6"/>
  <c r="N31" i="7"/>
  <c r="N59" i="7"/>
  <c r="N76" i="7"/>
  <c r="N97" i="7"/>
  <c r="F14" i="6"/>
  <c r="G14" i="6"/>
  <c r="N12" i="7"/>
  <c r="N24" i="7"/>
  <c r="N43" i="7"/>
  <c r="N54" i="7"/>
  <c r="N69" i="7"/>
  <c r="N27" i="4"/>
  <c r="F13" i="6"/>
  <c r="G13" i="6"/>
  <c r="N16" i="7"/>
  <c r="N42" i="7"/>
  <c r="N75" i="7"/>
  <c r="N92" i="7"/>
  <c r="N96" i="7"/>
  <c r="F12" i="6"/>
  <c r="G12" i="6"/>
  <c r="N7" i="7"/>
  <c r="N19" i="7"/>
  <c r="N58" i="7"/>
  <c r="N103" i="7"/>
  <c r="N15" i="4"/>
  <c r="N20" i="4"/>
  <c r="N26" i="4"/>
  <c r="F11" i="6"/>
  <c r="G11" i="6"/>
  <c r="N15" i="7"/>
  <c r="N18" i="7"/>
  <c r="N23" i="7"/>
  <c r="N30" i="7"/>
  <c r="N41" i="7"/>
  <c r="N53" i="7"/>
  <c r="N57" i="7"/>
  <c r="N66" i="7"/>
  <c r="N95" i="7"/>
  <c r="N102" i="7"/>
  <c r="F10" i="6"/>
  <c r="G10" i="6"/>
  <c r="N48" i="7"/>
  <c r="N101" i="7"/>
  <c r="F9" i="6"/>
  <c r="G9" i="6"/>
  <c r="N52" i="7"/>
  <c r="N100" i="7"/>
  <c r="N9" i="4"/>
  <c r="N14" i="4"/>
  <c r="F8" i="6"/>
  <c r="G8" i="6"/>
  <c r="N11" i="7"/>
  <c r="N51" i="7"/>
  <c r="N8" i="4"/>
  <c r="N13" i="4"/>
  <c r="N29" i="4"/>
  <c r="N22" i="4"/>
  <c r="F6" i="6"/>
  <c r="G6" i="6"/>
  <c r="N14" i="7"/>
  <c r="N26" i="7"/>
  <c r="N74" i="7"/>
  <c r="N87" i="7"/>
  <c r="F5" i="6"/>
  <c r="G5" i="6"/>
  <c r="N5" i="7"/>
  <c r="N28" i="7"/>
  <c r="N40" i="7"/>
  <c r="N47" i="7"/>
  <c r="N49" i="7"/>
  <c r="N91" i="7"/>
  <c r="N5" i="4"/>
  <c r="M34" i="4"/>
  <c r="J33" i="4"/>
  <c r="M33" i="4"/>
  <c r="M32" i="4"/>
  <c r="J32" i="4"/>
  <c r="J31" i="4"/>
  <c r="M31" i="4"/>
  <c r="M30" i="4"/>
  <c r="J29" i="4"/>
  <c r="M29" i="4"/>
  <c r="M28" i="4"/>
  <c r="J27" i="4"/>
  <c r="M27" i="4"/>
  <c r="J26" i="4"/>
  <c r="M26" i="4"/>
  <c r="M25" i="4"/>
  <c r="J24" i="4"/>
  <c r="M24" i="4"/>
  <c r="M23" i="4"/>
  <c r="M22" i="4"/>
  <c r="J22" i="4"/>
  <c r="M21" i="4"/>
  <c r="J21" i="4"/>
  <c r="M20" i="4"/>
  <c r="M19" i="4"/>
  <c r="M18" i="4"/>
  <c r="J17" i="4"/>
  <c r="M17" i="4"/>
  <c r="M16" i="4"/>
  <c r="M15" i="4"/>
  <c r="M14" i="4"/>
  <c r="M13" i="4"/>
  <c r="M12" i="4"/>
  <c r="L11" i="4"/>
  <c r="N11" i="4"/>
  <c r="J11" i="4"/>
  <c r="K11" i="4" s="1"/>
  <c r="M11" i="4"/>
  <c r="M10" i="4"/>
  <c r="M9" i="4"/>
  <c r="J9" i="4"/>
  <c r="M8" i="4"/>
  <c r="J8" i="4"/>
  <c r="M7" i="4"/>
  <c r="M6" i="4"/>
  <c r="M5" i="4"/>
  <c r="E63" i="1"/>
  <c r="N25" i="4" l="1"/>
  <c r="J25" i="4"/>
  <c r="N19" i="4"/>
  <c r="J19" i="4"/>
  <c r="N18" i="4"/>
  <c r="J18" i="4"/>
  <c r="N16" i="4"/>
  <c r="J16" i="4"/>
  <c r="N23" i="4"/>
  <c r="J23" i="4"/>
  <c r="N34" i="4"/>
  <c r="J34" i="4"/>
  <c r="J30" i="4"/>
  <c r="N30" i="4"/>
  <c r="F7" i="6"/>
  <c r="G7" i="6"/>
  <c r="J7" i="6" s="1"/>
  <c r="N6" i="7"/>
  <c r="O6" i="7" s="1"/>
  <c r="N29" i="7"/>
  <c r="O29" i="7" s="1"/>
  <c r="P29" i="7" s="1"/>
  <c r="N50" i="7"/>
  <c r="O50" i="7" s="1"/>
  <c r="P50" i="7" s="1"/>
  <c r="N65" i="7"/>
  <c r="N68" i="7"/>
  <c r="O68" i="7" s="1"/>
  <c r="P68" i="7" s="1"/>
  <c r="N83" i="7"/>
  <c r="O83" i="7" s="1"/>
  <c r="P83" i="7" s="1"/>
  <c r="N94" i="7"/>
  <c r="O94" i="7" s="1"/>
  <c r="P94" i="7" s="1"/>
  <c r="N99" i="7"/>
  <c r="O99" i="7" s="1"/>
  <c r="P99" i="7" s="1"/>
  <c r="H49" i="1"/>
  <c r="J7" i="4"/>
  <c r="N7" i="4"/>
  <c r="J6" i="4"/>
  <c r="N6" i="4"/>
  <c r="J28" i="4"/>
  <c r="N28" i="4"/>
  <c r="J12" i="4"/>
  <c r="N12" i="4"/>
  <c r="J10" i="4"/>
  <c r="N10" i="4"/>
  <c r="K21" i="4"/>
  <c r="L21" i="4"/>
  <c r="O93" i="7"/>
  <c r="P93" i="7" s="1"/>
  <c r="O71" i="7"/>
  <c r="P71" i="7" s="1"/>
  <c r="O60" i="7"/>
  <c r="P60" i="7" s="1"/>
  <c r="O44" i="7"/>
  <c r="P44" i="7" s="1"/>
  <c r="O33" i="7"/>
  <c r="P33" i="7" s="1"/>
  <c r="O10" i="7"/>
  <c r="P10" i="7" s="1"/>
  <c r="O9" i="7"/>
  <c r="P9" i="7" s="1"/>
  <c r="K34" i="4"/>
  <c r="L34" i="4"/>
  <c r="K33" i="4"/>
  <c r="L33" i="4"/>
  <c r="K32" i="4"/>
  <c r="L32" i="4"/>
  <c r="K31" i="4"/>
  <c r="L31" i="4"/>
  <c r="K23" i="4"/>
  <c r="L23" i="4"/>
  <c r="K5" i="4"/>
  <c r="L5" i="4"/>
  <c r="O14" i="7"/>
  <c r="E50" i="1"/>
  <c r="O11" i="7"/>
  <c r="E49" i="1"/>
  <c r="O8" i="7"/>
  <c r="G39" i="1"/>
  <c r="O7" i="7"/>
  <c r="G40" i="1"/>
  <c r="G41" i="1"/>
  <c r="D5" i="1"/>
  <c r="F38" i="1"/>
  <c r="O5" i="7"/>
  <c r="F5" i="1"/>
  <c r="G38" i="1"/>
  <c r="E48" i="1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6" i="6"/>
  <c r="J5" i="6"/>
  <c r="D8" i="1"/>
  <c r="F17" i="1"/>
  <c r="F21" i="1"/>
  <c r="O13" i="7"/>
  <c r="P13" i="7" s="1"/>
  <c r="O12" i="7"/>
  <c r="F41" i="1"/>
  <c r="H48" i="1"/>
  <c r="O104" i="7"/>
  <c r="P104" i="7" s="1"/>
  <c r="O103" i="7"/>
  <c r="P103" i="7" s="1"/>
  <c r="O102" i="7"/>
  <c r="P102" i="7" s="1"/>
  <c r="O101" i="7"/>
  <c r="P101" i="7" s="1"/>
  <c r="O100" i="7"/>
  <c r="P100" i="7" s="1"/>
  <c r="O98" i="7"/>
  <c r="P98" i="7" s="1"/>
  <c r="O97" i="7"/>
  <c r="P97" i="7" s="1"/>
  <c r="O96" i="7"/>
  <c r="P96" i="7" s="1"/>
  <c r="O95" i="7"/>
  <c r="P95" i="7" s="1"/>
  <c r="O92" i="7"/>
  <c r="P92" i="7" s="1"/>
  <c r="O91" i="7"/>
  <c r="P91" i="7" s="1"/>
  <c r="O90" i="7"/>
  <c r="P90" i="7" s="1"/>
  <c r="O89" i="7"/>
  <c r="P89" i="7" s="1"/>
  <c r="O88" i="7"/>
  <c r="P88" i="7" s="1"/>
  <c r="O87" i="7"/>
  <c r="P87" i="7" s="1"/>
  <c r="O86" i="7"/>
  <c r="P86" i="7" s="1"/>
  <c r="O85" i="7"/>
  <c r="P85" i="7" s="1"/>
  <c r="O84" i="7"/>
  <c r="P84" i="7" s="1"/>
  <c r="O82" i="7"/>
  <c r="P82" i="7" s="1"/>
  <c r="O81" i="7"/>
  <c r="P81" i="7" s="1"/>
  <c r="O80" i="7"/>
  <c r="P80" i="7" s="1"/>
  <c r="O79" i="7"/>
  <c r="P79" i="7" s="1"/>
  <c r="O78" i="7"/>
  <c r="P78" i="7" s="1"/>
  <c r="O77" i="7"/>
  <c r="P77" i="7" s="1"/>
  <c r="O76" i="7"/>
  <c r="P76" i="7" s="1"/>
  <c r="O75" i="7"/>
  <c r="P75" i="7" s="1"/>
  <c r="O74" i="7"/>
  <c r="P74" i="7" s="1"/>
  <c r="O73" i="7"/>
  <c r="P73" i="7" s="1"/>
  <c r="O72" i="7"/>
  <c r="P72" i="7" s="1"/>
  <c r="O70" i="7"/>
  <c r="P70" i="7" s="1"/>
  <c r="O69" i="7"/>
  <c r="P69" i="7" s="1"/>
  <c r="O67" i="7"/>
  <c r="P67" i="7" s="1"/>
  <c r="O66" i="7"/>
  <c r="P66" i="7" s="1"/>
  <c r="O64" i="7"/>
  <c r="P64" i="7" s="1"/>
  <c r="O63" i="7"/>
  <c r="P63" i="7" s="1"/>
  <c r="O62" i="7"/>
  <c r="P62" i="7" s="1"/>
  <c r="O61" i="7"/>
  <c r="P61" i="7" s="1"/>
  <c r="O59" i="7"/>
  <c r="P59" i="7" s="1"/>
  <c r="O58" i="7"/>
  <c r="P58" i="7" s="1"/>
  <c r="O57" i="7"/>
  <c r="P57" i="7" s="1"/>
  <c r="O56" i="7"/>
  <c r="P56" i="7" s="1"/>
  <c r="O55" i="7"/>
  <c r="P55" i="7" s="1"/>
  <c r="O54" i="7"/>
  <c r="P54" i="7" s="1"/>
  <c r="O53" i="7"/>
  <c r="P53" i="7" s="1"/>
  <c r="O52" i="7"/>
  <c r="P52" i="7" s="1"/>
  <c r="O51" i="7"/>
  <c r="P51" i="7" s="1"/>
  <c r="O49" i="7"/>
  <c r="P49" i="7" s="1"/>
  <c r="O48" i="7"/>
  <c r="P48" i="7" s="1"/>
  <c r="O47" i="7"/>
  <c r="P47" i="7" s="1"/>
  <c r="O46" i="7"/>
  <c r="P46" i="7" s="1"/>
  <c r="O45" i="7"/>
  <c r="P45" i="7" s="1"/>
  <c r="O43" i="7"/>
  <c r="P43" i="7" s="1"/>
  <c r="O42" i="7"/>
  <c r="P42" i="7" s="1"/>
  <c r="O41" i="7"/>
  <c r="P41" i="7" s="1"/>
  <c r="O40" i="7"/>
  <c r="P40" i="7" s="1"/>
  <c r="O39" i="7"/>
  <c r="P39" i="7" s="1"/>
  <c r="O38" i="7"/>
  <c r="P38" i="7" s="1"/>
  <c r="O37" i="7"/>
  <c r="P37" i="7" s="1"/>
  <c r="O36" i="7"/>
  <c r="P36" i="7" s="1"/>
  <c r="O35" i="7"/>
  <c r="P35" i="7" s="1"/>
  <c r="O34" i="7"/>
  <c r="P34" i="7" s="1"/>
  <c r="O32" i="7"/>
  <c r="P32" i="7" s="1"/>
  <c r="O31" i="7"/>
  <c r="P31" i="7" s="1"/>
  <c r="O30" i="7"/>
  <c r="P30" i="7" s="1"/>
  <c r="O28" i="7"/>
  <c r="P28" i="7" s="1"/>
  <c r="O27" i="7"/>
  <c r="P27" i="7" s="1"/>
  <c r="O26" i="7"/>
  <c r="P26" i="7" s="1"/>
  <c r="O25" i="7"/>
  <c r="P25" i="7" s="1"/>
  <c r="O24" i="7"/>
  <c r="P24" i="7" s="1"/>
  <c r="O23" i="7"/>
  <c r="P23" i="7" s="1"/>
  <c r="O22" i="7"/>
  <c r="P22" i="7" s="1"/>
  <c r="O21" i="7"/>
  <c r="P21" i="7" s="1"/>
  <c r="O20" i="7"/>
  <c r="P20" i="7" s="1"/>
  <c r="O19" i="7"/>
  <c r="P19" i="7" s="1"/>
  <c r="O18" i="7"/>
  <c r="P18" i="7" s="1"/>
  <c r="O17" i="7"/>
  <c r="P17" i="7" s="1"/>
  <c r="O16" i="7"/>
  <c r="P16" i="7" s="1"/>
  <c r="O15" i="7"/>
  <c r="F39" i="1"/>
  <c r="F40" i="1"/>
  <c r="K29" i="4"/>
  <c r="L29" i="4"/>
  <c r="K27" i="4"/>
  <c r="L27" i="4"/>
  <c r="K26" i="4"/>
  <c r="L26" i="4"/>
  <c r="K25" i="4"/>
  <c r="L25" i="4"/>
  <c r="K24" i="4"/>
  <c r="L24" i="4"/>
  <c r="K22" i="4"/>
  <c r="L22" i="4"/>
  <c r="K20" i="4"/>
  <c r="L20" i="4"/>
  <c r="K19" i="4"/>
  <c r="L19" i="4"/>
  <c r="K18" i="4"/>
  <c r="L18" i="4"/>
  <c r="K17" i="4"/>
  <c r="L17" i="4"/>
  <c r="K16" i="4"/>
  <c r="L16" i="4"/>
  <c r="K15" i="4"/>
  <c r="L15" i="4"/>
  <c r="K14" i="4"/>
  <c r="L14" i="4"/>
  <c r="K13" i="4"/>
  <c r="L13" i="4"/>
  <c r="K9" i="4"/>
  <c r="L9" i="4"/>
  <c r="K8" i="4"/>
  <c r="L8" i="4"/>
  <c r="F16" i="1" l="1"/>
  <c r="K30" i="4"/>
  <c r="L30" i="4"/>
  <c r="K7" i="4"/>
  <c r="L7" i="4"/>
  <c r="K12" i="4"/>
  <c r="L12" i="4"/>
  <c r="K10" i="4"/>
  <c r="L10" i="4"/>
  <c r="O65" i="7"/>
  <c r="H50" i="1"/>
  <c r="B8" i="1"/>
  <c r="K6" i="4"/>
  <c r="L6" i="4"/>
  <c r="K28" i="4"/>
  <c r="L28" i="4"/>
  <c r="L13" i="6"/>
  <c r="M13" i="6" s="1"/>
  <c r="L6" i="6"/>
  <c r="M6" i="6" s="1"/>
  <c r="L5" i="6"/>
  <c r="M5" i="6" s="1"/>
  <c r="P14" i="7"/>
  <c r="P11" i="7"/>
  <c r="F49" i="1"/>
  <c r="P8" i="7"/>
  <c r="H39" i="1"/>
  <c r="I39" i="1" s="1"/>
  <c r="P7" i="7"/>
  <c r="H40" i="1"/>
  <c r="I40" i="1" s="1"/>
  <c r="P6" i="7"/>
  <c r="P5" i="7"/>
  <c r="F60" i="1"/>
  <c r="G60" i="1" s="1"/>
  <c r="H38" i="1"/>
  <c r="I38" i="1" s="1"/>
  <c r="F48" i="1"/>
  <c r="F59" i="1"/>
  <c r="G59" i="1" s="1"/>
  <c r="P12" i="7"/>
  <c r="F61" i="1"/>
  <c r="G61" i="1" s="1"/>
  <c r="P15" i="7"/>
  <c r="L28" i="6"/>
  <c r="M28" i="6" s="1"/>
  <c r="L21" i="6"/>
  <c r="M21" i="6" s="1"/>
  <c r="L19" i="6"/>
  <c r="M19" i="6" s="1"/>
  <c r="L17" i="6"/>
  <c r="M17" i="6" s="1"/>
  <c r="L22" i="6"/>
  <c r="M22" i="6" s="1"/>
  <c r="L15" i="6"/>
  <c r="M15" i="6" s="1"/>
  <c r="L12" i="6"/>
  <c r="M12" i="6" s="1"/>
  <c r="L8" i="6"/>
  <c r="M8" i="6" s="1"/>
  <c r="L25" i="6"/>
  <c r="M25" i="6" s="1"/>
  <c r="L18" i="6"/>
  <c r="M18" i="6" s="1"/>
  <c r="L26" i="6"/>
  <c r="M26" i="6" s="1"/>
  <c r="L23" i="6"/>
  <c r="M23" i="6" s="1"/>
  <c r="L14" i="6"/>
  <c r="M14" i="6" s="1"/>
  <c r="L10" i="6"/>
  <c r="M10" i="6" s="1"/>
  <c r="L27" i="6"/>
  <c r="M27" i="6" s="1"/>
  <c r="L24" i="6"/>
  <c r="M24" i="6" s="1"/>
  <c r="L20" i="6"/>
  <c r="M20" i="6" s="1"/>
  <c r="L16" i="6"/>
  <c r="M16" i="6" s="1"/>
  <c r="L11" i="6"/>
  <c r="M11" i="6" s="1"/>
  <c r="L9" i="6"/>
  <c r="M9" i="6" s="1"/>
  <c r="L7" i="6"/>
  <c r="M7" i="6" s="1"/>
  <c r="F62" i="1"/>
  <c r="G62" i="1" s="1"/>
  <c r="P65" i="7" l="1"/>
  <c r="F50" i="1"/>
  <c r="I50" i="1" s="1"/>
  <c r="H41" i="1"/>
  <c r="I41" i="1" s="1"/>
  <c r="F22" i="1"/>
  <c r="D11" i="1"/>
  <c r="F11" i="1"/>
  <c r="F20" i="1"/>
  <c r="F19" i="1"/>
  <c r="F18" i="1"/>
  <c r="B11" i="1"/>
  <c r="F23" i="1"/>
  <c r="E32" i="1"/>
  <c r="F32" i="1" s="1"/>
  <c r="C32" i="1"/>
  <c r="D31" i="1"/>
  <c r="E30" i="1"/>
  <c r="F30" i="1" s="1"/>
  <c r="C30" i="1"/>
  <c r="E29" i="1"/>
  <c r="F29" i="1" s="1"/>
  <c r="C29" i="1"/>
  <c r="D32" i="1"/>
  <c r="E31" i="1"/>
  <c r="F31" i="1" s="1"/>
  <c r="C31" i="1"/>
  <c r="D30" i="1"/>
  <c r="D29" i="1"/>
  <c r="G50" i="1"/>
  <c r="G49" i="1"/>
  <c r="I49" i="1"/>
  <c r="G48" i="1"/>
  <c r="I48" i="1"/>
</calcChain>
</file>

<file path=xl/sharedStrings.xml><?xml version="1.0" encoding="utf-8"?>
<sst xmlns="http://schemas.openxmlformats.org/spreadsheetml/2006/main" count="976" uniqueCount="322">
  <si>
    <t>ADIMCLO  ·  ¿Y si esto lo hiciera solo, en todas sus sedes?</t>
  </si>
  <si>
    <t>Esta plantilla es un prototipo. Sirve para ver el número una vez; no para sostenerlo cada mes en varias sedes.</t>
  </si>
  <si>
    <t>Usted acaba de ver cuánto se le va en merma, qué platos le están quitando utilidad, cuánto le cuesta de verdad vender por aplicación y qué sede no cubre sus fijos.
Lo hizo con un cierre de inventario a mano y un mes de historia. Eso alcanza para una foto. Lo que no se sostiene así es repetirlo cada semana, con la carta cambiando, tres aplicaciones de domicilio liquidando distinto y cada sede reportando a su manera.</t>
  </si>
  <si>
    <t>LO QUE UN EXCEL NO PUEDE HACER POR USTED</t>
  </si>
  <si>
    <t>·</t>
  </si>
  <si>
    <t>Leer las ventas del POS de cada sede sin que nadie las transcriba.</t>
  </si>
  <si>
    <t>Descontar el insumo de la bodega en el momento en que sale el plato.</t>
  </si>
  <si>
    <t>Recalcular el costo de cada receta cuando sube el precio de un insumo.</t>
  </si>
  <si>
    <t>Conciliar lo que la aplicación de domicilio dice que le debe contra lo que le consignó.</t>
  </si>
  <si>
    <t>Avisar el mismo día cuando el food cost de una sede se sale de la meta.</t>
  </si>
  <si>
    <t>Sostener el histórico de varias sedes sin que el archivo se vuelva inmanejable.</t>
  </si>
  <si>
    <t>NUESTROS SERVICIOS, APLICADOS A SU NEGOCIO</t>
  </si>
  <si>
    <t>Servicio</t>
  </si>
  <si>
    <t>Qué resuelve en su operación</t>
  </si>
  <si>
    <t>Unidad</t>
  </si>
  <si>
    <t>MINERÍA</t>
  </si>
  <si>
    <t>Unifica el POS de cada sede, las liquidaciones de las aplicaciones de domicilio y las facturas de proveedor en una sola base con un único catálogo de insumos.</t>
  </si>
  <si>
    <t>01 · Analítica</t>
  </si>
  <si>
    <t>REPORTERÍA</t>
  </si>
  <si>
    <t>Food cost, merma y margen por sede, actualizados solos. Cada administrador ve su sede; usted ve la cadena completa sin pedir archivos.</t>
  </si>
  <si>
    <t>PRONÓSTICO</t>
  </si>
  <si>
    <t>Proyecta la demanda por plato y por día, y de ahí sale cuánto insumo comprar. Menos compra de afán y menos producto vencido en la nevera.</t>
  </si>
  <si>
    <t>RETAIL</t>
  </si>
  <si>
    <t>Ingeniería de menú con cifras: cuánto puede subir el precio de un caballo de batalla, qué plato conviene sacar de la carta y cuánto margen adicional hay disponible.</t>
  </si>
  <si>
    <t>SINAPSIS</t>
  </si>
  <si>
    <t>Conecta el POS con el inventario y con la contabilidad, y trae automáticamente lo que liquidan las aplicaciones de domicilio.</t>
  </si>
  <si>
    <t>03 · Arquitectura</t>
  </si>
  <si>
    <t>ENGRANAJE</t>
  </si>
  <si>
    <t>Automatiza el costeo de recetas cuando cambia un precio, y la conciliación diaria de comisiones de domicilio contra lo consignado.</t>
  </si>
  <si>
    <t>04 · Desarrollo</t>
  </si>
  <si>
    <t>CAUCE</t>
  </si>
  <si>
    <t>Estandariza porciones, compras y cierre de inventario para que las sedes operen igual y sus cifras sean comparables entre sí.</t>
  </si>
  <si>
    <t>02 · Consultoría</t>
  </si>
  <si>
    <t>PRISMA</t>
  </si>
  <si>
    <t>Modelo económico antes de abrir la siguiente sede: inversión, punto de equilibrio, tiempo de recuperación y qué pasa si la venta llega a la mitad.</t>
  </si>
  <si>
    <t>Elaborado por ADIMCLO · Consultoría en datos, estrategia empresarial, arquitectura, integración y automatización</t>
  </si>
  <si>
    <t>CADENA DE RESTAURANTES  ·  Tablero de control</t>
  </si>
  <si>
    <t>Se actualiza solo a medida que registra ventas, recetas e inventario de insumos. Los parámetros están en la hoja Inicio.</t>
  </si>
  <si>
    <t>VENTA BRUTA</t>
  </si>
  <si>
    <t>COMISIONES PAGADAS A CANALES</t>
  </si>
  <si>
    <t>VENTA NETA</t>
  </si>
  <si>
    <t>FOOD COST TEÓRICO (%)</t>
  </si>
  <si>
    <t>FOOD COST REAL (%)</t>
  </si>
  <si>
    <t>META DE FOOD COST</t>
  </si>
  <si>
    <t>MERMA EN PESOS</t>
  </si>
  <si>
    <t>MARGEN DE CONTRIBUCIÓN</t>
  </si>
  <si>
    <t>MARGEN DE CONTRIBUCIÓN (%)</t>
  </si>
  <si>
    <t>Food cost: lo que la receta dice contra lo que de verdad salió de la bodega</t>
  </si>
  <si>
    <t>Indicador</t>
  </si>
  <si>
    <t>Valor</t>
  </si>
  <si>
    <t>Consumo teórico de insumos (según recetas y ventas)</t>
  </si>
  <si>
    <t>Consumo real de insumos (inventario inicial + compras − final)</t>
  </si>
  <si>
    <t>Merma en pesos</t>
  </si>
  <si>
    <t>Merma como % del consumo teórico</t>
  </si>
  <si>
    <t>Merma como % de la venta bruta</t>
  </si>
  <si>
    <t>Diferencia contra la meta de food cost (puntos)</t>
  </si>
  <si>
    <t>Insumos con merma superior al 10%</t>
  </si>
  <si>
    <t>Utilidad recuperable si la merma bajara al 3%</t>
  </si>
  <si>
    <t>Esta es la cifra que casi ningún restaurante calcula, porque exige tener las recetas escritas. Es también la fuga más grande y la más fácil de corregir: se ataca con báscula y procedimiento, no con tecnología.</t>
  </si>
  <si>
    <t>Ingeniería de menú</t>
  </si>
  <si>
    <t>Clasificación</t>
  </si>
  <si>
    <t>Nº de platos</t>
  </si>
  <si>
    <t>Unidades</t>
  </si>
  <si>
    <t>Margen de contribución</t>
  </si>
  <si>
    <t>% del margen</t>
  </si>
  <si>
    <t>Qué hacer</t>
  </si>
  <si>
    <t>ESTRELLA</t>
  </si>
  <si>
    <t>Se vende mucho y deja mucho. Protéjalo: no le cambie la receta, no lo saque de la carta y déle el mejor lugar del menú.</t>
  </si>
  <si>
    <t>CABALLO DE BATALLA</t>
  </si>
  <si>
    <t>Se vende mucho y deja poco. Es el que más plata puede recuperar: suba el precio con cuidado, ajuste la porción o renegocie el insumo principal.</t>
  </si>
  <si>
    <t>ROMPECABEZAS</t>
  </si>
  <si>
    <t>Deja mucho pero casi nadie lo pide. Problema de comunicación, no de cocina: cámbielo de lugar en la carta, entrénele el mesero o renómbrelo.</t>
  </si>
  <si>
    <t>PERRO</t>
  </si>
  <si>
    <t>Ni se vende ni deja. Sáquelo de la carta: le ocupa inventario, tiempo de cocina y espacio en el menú.</t>
  </si>
  <si>
    <t>El caballo de batalla es donde está la plata: un aumento pequeño de precio o de porción en un plato de alta rotación mueve la utilidad de toda la cadena. El perro es donde está el ahorro escondido: cada plato que sale de la carta libera insumos, espacio y tiempo de cocina.</t>
  </si>
  <si>
    <t>Margen real por canal de venta</t>
  </si>
  <si>
    <t>Canal</t>
  </si>
  <si>
    <t>Venta bruta</t>
  </si>
  <si>
    <t>% de la venta</t>
  </si>
  <si>
    <t>Comisión pagada</t>
  </si>
  <si>
    <t>Venta neta</t>
  </si>
  <si>
    <t>Margen %</t>
  </si>
  <si>
    <t>Salón</t>
  </si>
  <si>
    <t>Para llevar</t>
  </si>
  <si>
    <t>Domicilio propio</t>
  </si>
  <si>
    <t>App de domicilio</t>
  </si>
  <si>
    <t>Compare el margen % del salón contra el de las apps. Si vender por app deja la mitad, la pregunta deja de ser «cómo vendo más por la app» y pasa a ser «cuánto de mi capacidad quiero entregarle a ese canal, y a qué precio».</t>
  </si>
  <si>
    <t>Desempeño por sede</t>
  </si>
  <si>
    <t>Escriba en amarillo los códigos de sede.</t>
  </si>
  <si>
    <t>Sede</t>
  </si>
  <si>
    <t>Contribución sobre costos fijos</t>
  </si>
  <si>
    <t>S01</t>
  </si>
  <si>
    <t>S02</t>
  </si>
  <si>
    <t>S03</t>
  </si>
  <si>
    <t>La última columna resta a la contribución de la sede su nómina y sus fijos, prorrateados a los días del periodo. Si sale en negativo, esa sede no está cubriendo lo que cuesta mantenerla abierta.</t>
  </si>
  <si>
    <t>Venta por franja horaria</t>
  </si>
  <si>
    <t>Franja</t>
  </si>
  <si>
    <t>Desayuno</t>
  </si>
  <si>
    <t>Almuerzo</t>
  </si>
  <si>
    <t>Tarde</t>
  </si>
  <si>
    <t>Cena</t>
  </si>
  <si>
    <t>Trasnocho</t>
  </si>
  <si>
    <t>Una franja con poca venta y margen alto no es un problema: es una oportunidad de promoción. Una franja con mucha venta y margen bajo es donde se le está yendo la cocina sin devolver utilidad.</t>
  </si>
  <si>
    <t>Lo que este Excel NO puede hacer por usted →  ver hoja «Servicios ADIMCLO»</t>
  </si>
  <si>
    <t>· Leer solo las ventas desde su POS y desde cada aplicación de domicilio, que reportan en formatos distintos.</t>
  </si>
  <si>
    <t>· Actualizar el costo de receta cuando el proveedor sube el precio de un insumo, sin que alguien lo digite.</t>
  </si>
  <si>
    <t>· Proyectar cuántos insumos comprar la semana entrante por sede, según la demanda esperada.</t>
  </si>
  <si>
    <t>· Calcular la programación de personal contra la venta esperada por franja y por día.</t>
  </si>
  <si>
    <t>· Detectar en qué sede y en qué turno se está yendo la merma, no solo cuánta merma hubo en total.</t>
  </si>
  <si>
    <t>· Sostener el ejercicio: un inventario que hay que cerrar a mano cada mes se deja de hacer al tercer mes.</t>
  </si>
  <si>
    <t>ADIMCLO · Consultoría en datos, estrategia empresarial, arquitectura, integración y automatización     ·     Prototipo de demostración con datos de ejemplo.</t>
  </si>
  <si>
    <t>ADIMCLO  ·  Cadena de Restaurantes · Food Cost, Menú, Canales y Sedes</t>
  </si>
  <si>
    <t>Plantilla gratuita ADIMCLO · Analítica de datos para el comercio minorista en Colombia</t>
  </si>
  <si>
    <t>En un restaurante la utilidad no se pierde en un solo lugar: se va en gramos que nadie pesó, en platos que se venden mucho y dejan poco, y en una comisión de domicilio que se lleva un quinto de la venta. Esta plantilla cruza las cuatro fugas al tiempo, sede por sede.</t>
  </si>
  <si>
    <t>1. Ajuste los parámetros</t>
  </si>
  <si>
    <t>Abajo: días del periodo, meta de food cost y la comisión que le cobra cada canal de venta.</t>
  </si>
  <si>
    <t>2. Cargue sedes, insumos y recetas</t>
  </si>
  <si>
    <t>Hojas «Sedes», «Insumos» y «Recetas». La receta es lo que más trabajo da y lo que más valor devuelve: sin ella no hay food cost teórico.</t>
  </si>
  <si>
    <t>3. Cargue la carta y las ventas</t>
  </si>
  <si>
    <t>Hoja «Menú»: plato y precio. Hoja «Ventas»: fecha, sede, canal, franja, plato y cantidad.</t>
  </si>
  <si>
    <t>4. Cierre el inventario</t>
  </si>
  <si>
    <t>En «Insumos» escriba stock inicial, compras y stock final del periodo. Ahí es donde aparece la merma.</t>
  </si>
  <si>
    <t>5. Lea el tablero</t>
  </si>
  <si>
    <t>Hoja «Tablero»: food cost teórico contra el real, ingeniería de menú, margen por canal y comparativo entre sedes y franjas.</t>
  </si>
  <si>
    <t>Días del periodo analizado</t>
  </si>
  <si>
    <t>Meta de food cost (% sobre la venta)</t>
  </si>
  <si>
    <t>Comisión del canal · Salón</t>
  </si>
  <si>
    <t>Comisión del canal · Para llevar</t>
  </si>
  <si>
    <t>Comisión del canal · Domicilio propio</t>
  </si>
  <si>
    <t>Comisión del canal · App de domicilio</t>
  </si>
  <si>
    <t>La comisión de «Domicilio propio» es lo que le cuesta el domiciliario y la moto expresado como porcentaje de esa venta. Si no lo tiene calculado, empiece con un estimado: es preferible un número aproximado a un cero que sabe que es falso.</t>
  </si>
  <si>
    <t>ADIMCLO  ·  Puntos de Venta de la Cadena</t>
  </si>
  <si>
    <t>Código</t>
  </si>
  <si>
    <t>Nombre de la sede</t>
  </si>
  <si>
    <t>Ciudad</t>
  </si>
  <si>
    <t>Formato</t>
  </si>
  <si>
    <t>Nº de sillas</t>
  </si>
  <si>
    <t>Nómina mensual</t>
  </si>
  <si>
    <t>Arriendo y fijos mensuales</t>
  </si>
  <si>
    <t>Sede Chapinero</t>
  </si>
  <si>
    <t>Bogotá</t>
  </si>
  <si>
    <t>Salón + domicilio</t>
  </si>
  <si>
    <t>Sede Poblado</t>
  </si>
  <si>
    <t>Medellín</t>
  </si>
  <si>
    <t>Sede Granada</t>
  </si>
  <si>
    <t>Cali</t>
  </si>
  <si>
    <t>Solo domicilio</t>
  </si>
  <si>
    <t>ADIMCLO  ·  Insumos, inventario y merma</t>
  </si>
  <si>
    <t>Insumo</t>
  </si>
  <si>
    <t>Costo unitario</t>
  </si>
  <si>
    <t>Stock inicial</t>
  </si>
  <si>
    <t>Compras del periodo</t>
  </si>
  <si>
    <t>Stock final</t>
  </si>
  <si>
    <t>Consumo real</t>
  </si>
  <si>
    <t>Consumo teórico</t>
  </si>
  <si>
    <t>Diferencia (unidades)</t>
  </si>
  <si>
    <t>Merma en $</t>
  </si>
  <si>
    <t>Merma %</t>
  </si>
  <si>
    <t>Consumo real $</t>
  </si>
  <si>
    <t>Consumo teórico $</t>
  </si>
  <si>
    <t>IN-001</t>
  </si>
  <si>
    <t>Pechuga de pollo</t>
  </si>
  <si>
    <t>kg</t>
  </si>
  <si>
    <t>IN-002</t>
  </si>
  <si>
    <t>Lomo de res</t>
  </si>
  <si>
    <t>IN-003</t>
  </si>
  <si>
    <t>Cerdo pernil</t>
  </si>
  <si>
    <t>IN-004</t>
  </si>
  <si>
    <t>Filete de tilapia</t>
  </si>
  <si>
    <t>IN-005</t>
  </si>
  <si>
    <t>Camarón pelado</t>
  </si>
  <si>
    <t>IN-006</t>
  </si>
  <si>
    <t>Arroz blanco</t>
  </si>
  <si>
    <t>IN-007</t>
  </si>
  <si>
    <t>Papa criolla</t>
  </si>
  <si>
    <t>IN-008</t>
  </si>
  <si>
    <t>Papa pastusa</t>
  </si>
  <si>
    <t>IN-009</t>
  </si>
  <si>
    <t>Yuca</t>
  </si>
  <si>
    <t>IN-010</t>
  </si>
  <si>
    <t>Plátano maduro</t>
  </si>
  <si>
    <t>IN-011</t>
  </si>
  <si>
    <t>Tomate</t>
  </si>
  <si>
    <t>IN-012</t>
  </si>
  <si>
    <t>Cebolla cabezona</t>
  </si>
  <si>
    <t>IN-013</t>
  </si>
  <si>
    <t>Lechuga</t>
  </si>
  <si>
    <t>und</t>
  </si>
  <si>
    <t>IN-014</t>
  </si>
  <si>
    <t>Aguacate</t>
  </si>
  <si>
    <t>IN-015</t>
  </si>
  <si>
    <t>Limón</t>
  </si>
  <si>
    <t>IN-016</t>
  </si>
  <si>
    <t>Queso mozzarella</t>
  </si>
  <si>
    <t>IN-017</t>
  </si>
  <si>
    <t>Queso costeño</t>
  </si>
  <si>
    <t>IN-018</t>
  </si>
  <si>
    <t>Crema de leche</t>
  </si>
  <si>
    <t>litro</t>
  </si>
  <si>
    <t>IN-019</t>
  </si>
  <si>
    <t>Leche entera</t>
  </si>
  <si>
    <t>IN-020</t>
  </si>
  <si>
    <t>Huevo</t>
  </si>
  <si>
    <t>IN-021</t>
  </si>
  <si>
    <t>Harina de trigo</t>
  </si>
  <si>
    <t>IN-022</t>
  </si>
  <si>
    <t>Pan de hamburguesa</t>
  </si>
  <si>
    <t>IN-023</t>
  </si>
  <si>
    <t>Tortilla de maíz</t>
  </si>
  <si>
    <t>IN-024</t>
  </si>
  <si>
    <t>Aceite vegetal</t>
  </si>
  <si>
    <t>IN-025</t>
  </si>
  <si>
    <t>Mantequilla</t>
  </si>
  <si>
    <t>IN-026</t>
  </si>
  <si>
    <t>Salsa de tomate</t>
  </si>
  <si>
    <t>IN-027</t>
  </si>
  <si>
    <t>Gaseosa 300 ml</t>
  </si>
  <si>
    <t>IN-028</t>
  </si>
  <si>
    <t>Jugo natural base</t>
  </si>
  <si>
    <t>IN-029</t>
  </si>
  <si>
    <t>Café molido</t>
  </si>
  <si>
    <t>IN-030</t>
  </si>
  <si>
    <t>Azúcar</t>
  </si>
  <si>
    <t>ADIMCLO  ·  Recetas estándar</t>
  </si>
  <si>
    <t>Código del plato</t>
  </si>
  <si>
    <t>Código del insumo</t>
  </si>
  <si>
    <t>Cantidad por porción</t>
  </si>
  <si>
    <t>Unidades vendidas del plato</t>
  </si>
  <si>
    <t>Consumo teórico total</t>
  </si>
  <si>
    <t>Costo unitario del insumo</t>
  </si>
  <si>
    <t>Costo del insumo en el plato</t>
  </si>
  <si>
    <t>Nombre del insumo</t>
  </si>
  <si>
    <t>PL-001</t>
  </si>
  <si>
    <t>PL-002</t>
  </si>
  <si>
    <t>PL-003</t>
  </si>
  <si>
    <t>PL-004</t>
  </si>
  <si>
    <t>PL-005</t>
  </si>
  <si>
    <t>PL-006</t>
  </si>
  <si>
    <t>PL-007</t>
  </si>
  <si>
    <t>PL-008</t>
  </si>
  <si>
    <t>PL-009</t>
  </si>
  <si>
    <t>PL-010</t>
  </si>
  <si>
    <t>PL-011</t>
  </si>
  <si>
    <t>PL-012</t>
  </si>
  <si>
    <t>PL-013</t>
  </si>
  <si>
    <t>PL-014</t>
  </si>
  <si>
    <t>PL-015</t>
  </si>
  <si>
    <t>PL-016</t>
  </si>
  <si>
    <t>PL-017</t>
  </si>
  <si>
    <t>PL-018</t>
  </si>
  <si>
    <t>PL-019</t>
  </si>
  <si>
    <t>PL-020</t>
  </si>
  <si>
    <t>PL-021</t>
  </si>
  <si>
    <t>PL-022</t>
  </si>
  <si>
    <t>PL-023</t>
  </si>
  <si>
    <t>PL-024</t>
  </si>
  <si>
    <t>ADIMCLO  ·  Carta e ingeniería de menú</t>
  </si>
  <si>
    <t>Nombre del plato</t>
  </si>
  <si>
    <t>Categoría</t>
  </si>
  <si>
    <t>Precio de venta</t>
  </si>
  <si>
    <t>Costo de receta</t>
  </si>
  <si>
    <t>Food cost %</t>
  </si>
  <si>
    <t>Margen de contribución $</t>
  </si>
  <si>
    <t>Unidades vendidas</t>
  </si>
  <si>
    <t>% de las unidades</t>
  </si>
  <si>
    <t>Margen de contribución total</t>
  </si>
  <si>
    <t>Popularidad</t>
  </si>
  <si>
    <t>Rentabilidad</t>
  </si>
  <si>
    <t>Pollo a la plancha</t>
  </si>
  <si>
    <t>Fuertes</t>
  </si>
  <si>
    <t>Lomo al pimienta</t>
  </si>
  <si>
    <t>Cerdo BBQ</t>
  </si>
  <si>
    <t>Tilapia al ajillo</t>
  </si>
  <si>
    <t>Arroz con camarón</t>
  </si>
  <si>
    <t>Bandeja de la casa</t>
  </si>
  <si>
    <t>Hamburguesa clásica</t>
  </si>
  <si>
    <t>Rápidos</t>
  </si>
  <si>
    <t>Hamburguesa doble</t>
  </si>
  <si>
    <t>Tacos de pollo (3)</t>
  </si>
  <si>
    <t>Perro caliente especial</t>
  </si>
  <si>
    <t>Salchipapa</t>
  </si>
  <si>
    <t>Pizza mozzarella personal</t>
  </si>
  <si>
    <t>Ensalada César con pollo</t>
  </si>
  <si>
    <t>Entradas</t>
  </si>
  <si>
    <t>Ensalada de la casa</t>
  </si>
  <si>
    <t>Sopa del día</t>
  </si>
  <si>
    <t>Patacón con queso</t>
  </si>
  <si>
    <t>Yuca frita</t>
  </si>
  <si>
    <t>Arepa de huevo</t>
  </si>
  <si>
    <t>Gaseosa personal</t>
  </si>
  <si>
    <t>Bebidas</t>
  </si>
  <si>
    <t>Jugo natural en agua</t>
  </si>
  <si>
    <t>Limonada de coco</t>
  </si>
  <si>
    <t>Café americano</t>
  </si>
  <si>
    <t>Postre de la casa</t>
  </si>
  <si>
    <t>Postres</t>
  </si>
  <si>
    <t>Brownie con helado</t>
  </si>
  <si>
    <t>ADIMCLO  ·  Registro de ventas</t>
  </si>
  <si>
    <t>Fecha</t>
  </si>
  <si>
    <t>Cantidad</t>
  </si>
  <si>
    <t>Descuento %</t>
  </si>
  <si>
    <t>Comisión del canal %</t>
  </si>
  <si>
    <t>Comisión pagada $</t>
  </si>
  <si>
    <t>Costo teórico de insumos</t>
  </si>
  <si>
    <t>Food cost
 teórico %</t>
  </si>
  <si>
    <t>Margen de 
contribución</t>
  </si>
  <si>
    <t>CÓMO USARLA</t>
  </si>
  <si>
    <t>PARÁMETROS</t>
  </si>
  <si>
    <t>CONVENCIÓN DE COLORES</t>
  </si>
  <si>
    <t>Amarillo con texto azul</t>
  </si>
  <si>
    <t>Usted escribe aquí</t>
  </si>
  <si>
    <t>Azul claro</t>
  </si>
  <si>
    <t>Lo calcula la plantilla: no escribir</t>
  </si>
  <si>
    <t>Blanco</t>
  </si>
  <si>
    <t>Dato que usted carga en las hojas de datos</t>
  </si>
  <si>
    <t>IMPORTANTE — qué es y qué no es esta plantilla
Es un prototipo para que usted vea sus propios números con el mínimo esfuerzo. Funciona bien con un mes de registro y un catálogo de hasta doscientos productos. No reemplaza un POS ni se conecta a su caja: cada dato se escribe a mano, y por eso no es sostenible como práctica mensual. La hoja «Servicios ADIMCLO» explica qué se necesita para automatizarlo.</t>
  </si>
  <si>
    <t>Los datos aquí registrados son de ejemplo; borrelos y reemplacelos con su información. Escriba stock inicial, compras y stock final del periodo. La diferencia contra lo que las recetas dicen que debió consumirse es su merma.</t>
  </si>
  <si>
    <t>Los datos aquí registrados son de ejemplo; borrelos y reemplacelos con su información. Una fila por sede. El código debe coincidir con el que use en la hoja de ventas.</t>
  </si>
  <si>
    <t>Los datos aquí registrados son de ejemplo; borrelos y reemplacelos con su información. Una fila por cada insumo que lleva cada plato. Escriba plato, insumo y la cantidad exacta por porción.</t>
  </si>
  <si>
    <t>Los datos aquí registrados son de ejemplo; borrelos y reemplacelos con su información. Escriba plato, categoría y precio. El costo sale solo de las recetas.</t>
  </si>
  <si>
    <t>Escríbanos y revisamos juntos su tablero
comercial@adimclo.com   ·   +57 315 368 2262   ·   www.adimclo.com</t>
  </si>
  <si>
    <t>Los datos aquí registrados son de ejemplo; bórrelos y reemplácelos con su información. Escriba fecha, sede, canal, franja, plato, cantidad y descuento. Lo demás se calcula solo. Capacidad máxima: 100 registros nuevos (filas 5 a 104); las fórmulas no continúan después de la fila 104.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</si>
</sst>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;\-#,##0.0;;"/>
    <numFmt numFmtId="165" formatCode="\$#,##0;&quot;($&quot;#,##0\);;"/>
    <numFmt numFmtId="166" formatCode="0.0%"/>
    <numFmt numFmtId="167" formatCode="#,##0.000;;;"/>
    <numFmt numFmtId="168" formatCode="#,##0;;;"/>
    <numFmt numFmtId="169" formatCode="\$#,##0;&quot;($&quot;#,##0\);\-"/>
    <numFmt numFmtId="170" formatCode="dd/mm/yyyy"/>
    <numFmt numFmtId="171" formatCode="&quot;$&quot;#,##0"/>
    <numFmt numFmtId="172" formatCode="#,##0.000"/>
  </numFmts>
  <fonts count="51" x14ac:knownFonts="1">
    <font>
      <sz val="11"/>
      <color theme="1"/>
      <name val="Calibri"/>
      <family val="2"/>
      <charset val="1"/>
    </font>
    <font>
      <b/>
      <sz val="14"/>
      <color rgb="FFFFFFFF"/>
      <name val="Aptos Display"/>
      <family val="2"/>
    </font>
    <font>
      <sz val="11"/>
      <color theme="1"/>
      <name val="Aptos Display"/>
      <family val="2"/>
    </font>
    <font>
      <b/>
      <sz val="9"/>
      <color rgb="FFFFFFFF"/>
      <name val="Aptos Display"/>
      <family val="2"/>
    </font>
    <font>
      <sz val="14"/>
      <color theme="1"/>
      <name val="Aptos Display"/>
      <family val="2"/>
    </font>
    <font>
      <sz val="11"/>
      <color rgb="FF0000FF"/>
      <name val="Aptos Display"/>
      <family val="2"/>
    </font>
    <font>
      <b/>
      <sz val="10"/>
      <color rgb="FFFFFFFF"/>
      <name val="Aptos Display"/>
      <family val="2"/>
    </font>
    <font>
      <b/>
      <sz val="11"/>
      <color rgb="FFFFFFFF"/>
      <name val="Aptos Display"/>
      <family val="2"/>
    </font>
    <font>
      <sz val="11"/>
      <color rgb="FF000000"/>
      <name val="Aptos Display"/>
      <family val="2"/>
    </font>
    <font>
      <b/>
      <sz val="11"/>
      <color theme="1"/>
      <name val="Aptos Display"/>
      <family val="2"/>
    </font>
    <font>
      <i/>
      <sz val="10"/>
      <color rgb="FF6B7280"/>
      <name val="Aptos Display"/>
      <family val="2"/>
    </font>
    <font>
      <b/>
      <sz val="12"/>
      <color rgb="FFFFFFFF"/>
      <name val="Aptos Display"/>
      <family val="2"/>
    </font>
    <font>
      <b/>
      <i/>
      <u/>
      <sz val="12"/>
      <name val="Aptos Display"/>
      <family val="2"/>
    </font>
    <font>
      <b/>
      <sz val="9"/>
      <name val="Aptos Display"/>
      <family val="2"/>
    </font>
    <font>
      <sz val="10"/>
      <color rgb="FFFFFFFF"/>
      <name val="Aptos Display"/>
      <family val="2"/>
    </font>
    <font>
      <b/>
      <sz val="17"/>
      <color rgb="FFFFFFFF"/>
      <name val="Aptos Display"/>
      <family val="2"/>
    </font>
    <font>
      <b/>
      <sz val="8.5"/>
      <color rgb="FF9BA8D4"/>
      <name val="Aptos Display"/>
      <family val="2"/>
    </font>
    <font>
      <b/>
      <sz val="8"/>
      <color rgb="FF9BA8D4"/>
      <name val="Aptos Display"/>
      <family val="2"/>
    </font>
    <font>
      <b/>
      <sz val="20"/>
      <name val="Aptos Display"/>
      <family val="2"/>
    </font>
    <font>
      <sz val="8.5"/>
      <color rgb="FF6B7AB0"/>
      <name val="Aptos Display"/>
      <family val="2"/>
    </font>
    <font>
      <sz val="12"/>
      <color rgb="FFFFFFFF"/>
      <name val="Aptos Display"/>
      <family val="2"/>
    </font>
    <font>
      <sz val="12"/>
      <name val="Aptos Display"/>
      <family val="2"/>
    </font>
    <font>
      <sz val="9.5"/>
      <name val="Aptos Display"/>
      <family val="2"/>
    </font>
    <font>
      <b/>
      <sz val="11"/>
      <color theme="0"/>
      <name val="Aptos Display"/>
      <family val="2"/>
    </font>
    <font>
      <b/>
      <sz val="10"/>
      <color theme="0"/>
      <name val="Aptos Display"/>
      <family val="2"/>
    </font>
    <font>
      <b/>
      <sz val="11"/>
      <color rgb="FF9BA8D4"/>
      <name val="Aptos Display"/>
      <family val="2"/>
    </font>
    <font>
      <sz val="12"/>
      <color theme="1"/>
      <name val="Aptos Display"/>
      <family val="2"/>
    </font>
    <font>
      <b/>
      <sz val="12"/>
      <name val="Aptos Display"/>
      <family val="2"/>
    </font>
    <font>
      <b/>
      <sz val="10"/>
      <name val="Aptos Display"/>
      <family val="2"/>
    </font>
    <font>
      <sz val="9"/>
      <name val="Aptos Display"/>
      <family val="2"/>
    </font>
    <font>
      <b/>
      <sz val="11"/>
      <color rgb="FF1F3864"/>
      <name val="Aptos Display"/>
      <family val="2"/>
    </font>
    <font>
      <sz val="10"/>
      <color rgb="FF0B7A8C"/>
      <name val="Aptos Display"/>
      <family val="2"/>
    </font>
    <font>
      <sz val="10"/>
      <color rgb="FF1F2A44"/>
      <name val="Aptos Display"/>
      <family val="2"/>
    </font>
    <font>
      <b/>
      <sz val="10"/>
      <color rgb="FF0B7A8C"/>
      <name val="Aptos Display"/>
      <family val="2"/>
    </font>
    <font>
      <sz val="9"/>
      <color rgb="FF767DAE"/>
      <name val="Aptos Display"/>
      <family val="2"/>
    </font>
    <font>
      <sz val="11"/>
      <color rgb="FF1F2A44"/>
      <name val="Aptos Display"/>
      <family val="2"/>
    </font>
    <font>
      <sz val="8"/>
      <name val="Aptos Display"/>
      <family val="2"/>
    </font>
    <font>
      <sz val="10"/>
      <color rgb="FF0000FF"/>
      <name val="Arial"/>
      <family val="2"/>
    </font>
    <font>
      <sz val="10"/>
      <color theme="0"/>
      <name val="Aptos Display"/>
      <family val="2"/>
    </font>
    <font>
      <sz val="12"/>
      <color theme="1"/>
      <name val="Calibri"/>
      <family val="2"/>
      <charset val="1"/>
    </font>
    <font>
      <sz val="11"/>
      <name val="Aptos Display"/>
      <family val="2"/>
    </font>
    <font>
      <b/>
      <sz val="11"/>
      <name val="Aptos Display"/>
      <family val="2"/>
    </font>
    <font>
      <b/>
      <u/>
      <sz val="11"/>
      <color rgb="FF1F3864"/>
      <name val="Aptos Display"/>
      <family val="2"/>
    </font>
    <font>
      <b/>
      <sz val="11"/>
      <color rgb="FF000000"/>
      <name val="Aptos Display"/>
      <family val="2"/>
    </font>
    <font>
      <sz val="12"/>
      <color rgb="FF0000FF"/>
      <name val="Aptos Display"/>
      <family val="2"/>
    </font>
    <font>
      <i/>
      <sz val="11"/>
      <color theme="1"/>
      <name val="Aptos Display"/>
      <family val="2"/>
    </font>
    <font>
      <i/>
      <sz val="11"/>
      <color theme="1" tint="0.249977111117893"/>
      <name val="Aptos Display"/>
      <family val="2"/>
    </font>
    <font>
      <b/>
      <sz val="10"/>
      <color rgb="FF6B4C12"/>
      <name val="Aptos Display"/>
      <family val="2"/>
    </font>
    <font>
      <i/>
      <sz val="9"/>
      <name val="Aptos Display"/>
      <family val="2"/>
    </font>
    <font>
      <b/>
      <sz val="14"/>
      <color rgb="FF1F3864"/>
      <name val="Aptos Display"/>
      <family val="2"/>
    </font>
    <font>
      <b/>
      <sz val="12"/>
      <color rgb="FF002060"/>
      <name val="Aptos Display"/>
      <family val="2"/>
    </font>
  </fonts>
  <fills count="25">
    <fill>
      <patternFill patternType="none"/>
    </fill>
    <fill>
      <patternFill patternType="gray125"/>
    </fill>
    <fill>
      <patternFill patternType="solid">
        <fgColor rgb="FF14324F"/>
        <bgColor rgb="FF33333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70E33"/>
      </patternFill>
    </fill>
    <fill>
      <patternFill patternType="solid">
        <fgColor rgb="FF111C52"/>
      </patternFill>
    </fill>
    <fill>
      <patternFill patternType="solid">
        <fgColor rgb="FF00D9B2"/>
      </patternFill>
    </fill>
    <fill>
      <patternFill patternType="solid">
        <fgColor rgb="FF4C8DFF"/>
      </patternFill>
    </fill>
    <fill>
      <patternFill patternType="solid">
        <fgColor rgb="FFFFB020"/>
      </patternFill>
    </fill>
    <fill>
      <patternFill patternType="solid">
        <fgColor rgb="FFA98BFA"/>
      </patternFill>
    </fill>
    <fill>
      <patternFill patternType="solid">
        <fgColor rgb="FF38BDF8"/>
      </patternFill>
    </fill>
    <fill>
      <patternFill patternType="solid">
        <fgColor rgb="FFFF5A6A"/>
      </patternFill>
    </fill>
    <fill>
      <patternFill patternType="solid">
        <fgColor rgb="FF3DD68C"/>
      </patternFill>
    </fill>
    <fill>
      <patternFill patternType="solid">
        <fgColor rgb="FFF472B6"/>
      </patternFill>
    </fill>
    <fill>
      <patternFill patternType="solid">
        <fgColor rgb="FF1A2761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rgb="FF008080"/>
      </patternFill>
    </fill>
    <fill>
      <patternFill patternType="solid">
        <fgColor rgb="FFFFFF00"/>
        <bgColor rgb="FFEAF0F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F3864"/>
      </patternFill>
    </fill>
    <fill>
      <patternFill patternType="solid">
        <fgColor rgb="FFFFFF00"/>
      </patternFill>
    </fill>
    <fill>
      <patternFill patternType="solid">
        <fgColor rgb="FFFFFF00"/>
        <bgColor rgb="FFFFFF00"/>
      </patternFill>
    </fill>
    <fill>
      <patternFill patternType="solid">
        <fgColor rgb="FFEAF1FC"/>
        <bgColor rgb="FFF2F5FA"/>
      </patternFill>
    </fill>
    <fill>
      <patternFill patternType="solid">
        <fgColor rgb="FFFFF8E6"/>
        <bgColor rgb="FFF7F9FC"/>
      </patternFill>
    </fill>
  </fills>
  <borders count="23">
    <border>
      <left/>
      <right/>
      <top/>
      <bottom/>
      <diagonal/>
    </border>
    <border>
      <left style="thin">
        <color rgb="FFB7C4CE"/>
      </left>
      <right style="thin">
        <color rgb="FFB7C4CE"/>
      </right>
      <top style="thin">
        <color rgb="FFB7C4CE"/>
      </top>
      <bottom style="thin">
        <color rgb="FFB7C4CE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thin">
        <color rgb="FF23306E"/>
      </left>
      <right/>
      <top style="thin">
        <color rgb="FF23306E"/>
      </top>
      <bottom/>
      <diagonal/>
    </border>
    <border>
      <left/>
      <right style="thin">
        <color rgb="FF23306E"/>
      </right>
      <top style="thin">
        <color rgb="FF23306E"/>
      </top>
      <bottom/>
      <diagonal/>
    </border>
    <border>
      <left style="thin">
        <color rgb="FF23306E"/>
      </left>
      <right/>
      <top/>
      <bottom/>
      <diagonal/>
    </border>
    <border>
      <left/>
      <right style="thin">
        <color rgb="FF23306E"/>
      </right>
      <top/>
      <bottom/>
      <diagonal/>
    </border>
    <border>
      <left style="thin">
        <color rgb="FF23306E"/>
      </left>
      <right/>
      <top/>
      <bottom style="thin">
        <color rgb="FF23306E"/>
      </bottom>
      <diagonal/>
    </border>
    <border>
      <left/>
      <right style="thin">
        <color rgb="FF23306E"/>
      </right>
      <top/>
      <bottom style="thin">
        <color rgb="FF23306E"/>
      </bottom>
      <diagonal/>
    </border>
    <border>
      <left/>
      <right/>
      <top style="thin">
        <color rgb="FF23306E"/>
      </top>
      <bottom/>
      <diagonal/>
    </border>
    <border>
      <left/>
      <right/>
      <top/>
      <bottom style="thin">
        <color rgb="FF23306E"/>
      </bottom>
      <diagonal/>
    </border>
    <border>
      <left style="thin">
        <color rgb="FF23306E"/>
      </left>
      <right style="thin">
        <color rgb="FF23306E"/>
      </right>
      <top/>
      <bottom/>
      <diagonal/>
    </border>
    <border>
      <left/>
      <right style="thin">
        <color rgb="FF23306E"/>
      </right>
      <top/>
      <bottom/>
      <diagonal/>
    </border>
    <border>
      <left style="thin">
        <color rgb="FF23306E"/>
      </left>
      <right style="thin">
        <color rgb="FF23306E"/>
      </right>
      <top/>
      <bottom style="thin">
        <color rgb="FF23306E"/>
      </bottom>
      <diagonal/>
    </border>
    <border>
      <left/>
      <right/>
      <top/>
      <bottom style="thin">
        <color rgb="FFD5DCEA"/>
      </bottom>
      <diagonal/>
    </border>
    <border>
      <left/>
      <right/>
      <top/>
      <bottom style="thin">
        <color rgb="FFD5DCEA"/>
      </bottom>
      <diagonal/>
    </border>
    <border>
      <left style="thin">
        <color rgb="FFD5DCEA"/>
      </left>
      <right style="thin">
        <color rgb="FFD5DCEA"/>
      </right>
      <top style="thin">
        <color rgb="FFD5DCEA"/>
      </top>
      <bottom style="thin">
        <color rgb="FFD5DCEA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medium">
        <color rgb="FFC00000"/>
      </bottom>
      <diagonal/>
    </border>
    <border>
      <left style="thin">
        <color rgb="FFB7C4CE"/>
      </left>
      <right style="thin">
        <color rgb="FFB7C4CE"/>
      </right>
      <top style="thin">
        <color rgb="FFB7C4CE"/>
      </top>
      <bottom style="medium">
        <color rgb="FFC00000"/>
      </bottom>
      <diagonal/>
    </border>
  </borders>
  <cellStyleXfs count="1">
    <xf numFmtId="0" fontId="0" fillId="0" borderId="5"/>
  </cellStyleXfs>
  <cellXfs count="190">
    <xf numFmtId="0" fontId="0" fillId="0" borderId="0" xfId="0" applyBorder="1"/>
    <xf numFmtId="0" fontId="2" fillId="0" borderId="0" xfId="0" applyFont="1" applyBorder="1"/>
    <xf numFmtId="0" fontId="9" fillId="0" borderId="0" xfId="0" applyFont="1" applyBorder="1"/>
    <xf numFmtId="0" fontId="10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" fillId="0" borderId="5" xfId="0" applyFont="1"/>
    <xf numFmtId="0" fontId="8" fillId="0" borderId="1" xfId="0" applyFont="1" applyBorder="1" applyProtection="1">
      <protection locked="0" hidden="1"/>
    </xf>
    <xf numFmtId="169" fontId="8" fillId="0" borderId="1" xfId="0" applyNumberFormat="1" applyFont="1" applyBorder="1" applyProtection="1">
      <protection locked="0" hidden="1"/>
    </xf>
    <xf numFmtId="166" fontId="8" fillId="0" borderId="1" xfId="0" applyNumberFormat="1" applyFont="1" applyBorder="1" applyProtection="1">
      <protection locked="0" hidden="1"/>
    </xf>
    <xf numFmtId="0" fontId="8" fillId="0" borderId="22" xfId="0" applyFont="1" applyBorder="1" applyProtection="1">
      <protection locked="0" hidden="1"/>
    </xf>
    <xf numFmtId="169" fontId="8" fillId="0" borderId="22" xfId="0" applyNumberFormat="1" applyFont="1" applyBorder="1" applyProtection="1">
      <protection locked="0" hidden="1"/>
    </xf>
    <xf numFmtId="166" fontId="8" fillId="0" borderId="22" xfId="0" applyNumberFormat="1" applyFont="1" applyBorder="1" applyProtection="1">
      <protection locked="0" hidden="1"/>
    </xf>
    <xf numFmtId="0" fontId="14" fillId="4" borderId="5" xfId="0" applyFont="1" applyFill="1" applyAlignment="1" applyProtection="1">
      <alignment vertical="center"/>
      <protection locked="0" hidden="1"/>
    </xf>
    <xf numFmtId="0" fontId="2" fillId="0" borderId="0" xfId="0" applyFont="1" applyBorder="1" applyProtection="1">
      <protection locked="0" hidden="1"/>
    </xf>
    <xf numFmtId="0" fontId="14" fillId="6" borderId="6" xfId="0" applyFont="1" applyFill="1" applyBorder="1" applyAlignment="1" applyProtection="1">
      <alignment vertical="center"/>
      <protection locked="0" hidden="1"/>
    </xf>
    <xf numFmtId="0" fontId="14" fillId="6" borderId="7" xfId="0" applyFont="1" applyFill="1" applyBorder="1" applyAlignment="1" applyProtection="1">
      <alignment vertical="center"/>
      <protection locked="0" hidden="1"/>
    </xf>
    <xf numFmtId="0" fontId="14" fillId="7" borderId="6" xfId="0" applyFont="1" applyFill="1" applyBorder="1" applyAlignment="1" applyProtection="1">
      <alignment vertical="center"/>
      <protection locked="0" hidden="1"/>
    </xf>
    <xf numFmtId="0" fontId="14" fillId="7" borderId="7" xfId="0" applyFont="1" applyFill="1" applyBorder="1" applyAlignment="1" applyProtection="1">
      <alignment vertical="center"/>
      <protection locked="0" hidden="1"/>
    </xf>
    <xf numFmtId="0" fontId="14" fillId="8" borderId="6" xfId="0" applyFont="1" applyFill="1" applyBorder="1" applyAlignment="1" applyProtection="1">
      <alignment vertical="center"/>
      <protection locked="0" hidden="1"/>
    </xf>
    <xf numFmtId="0" fontId="14" fillId="8" borderId="12" xfId="0" applyFont="1" applyFill="1" applyBorder="1" applyAlignment="1" applyProtection="1">
      <alignment vertical="center"/>
      <protection locked="0" hidden="1"/>
    </xf>
    <xf numFmtId="0" fontId="14" fillId="8" borderId="7" xfId="0" applyFont="1" applyFill="1" applyBorder="1" applyAlignment="1" applyProtection="1">
      <alignment vertical="center"/>
      <protection locked="0" hidden="1"/>
    </xf>
    <xf numFmtId="0" fontId="14" fillId="9" borderId="6" xfId="0" applyFont="1" applyFill="1" applyBorder="1" applyAlignment="1" applyProtection="1">
      <alignment vertical="center"/>
      <protection locked="0" hidden="1"/>
    </xf>
    <xf numFmtId="0" fontId="14" fillId="9" borderId="7" xfId="0" applyFont="1" applyFill="1" applyBorder="1" applyAlignment="1" applyProtection="1">
      <alignment vertical="center"/>
      <protection locked="0" hidden="1"/>
    </xf>
    <xf numFmtId="0" fontId="14" fillId="10" borderId="6" xfId="0" applyFont="1" applyFill="1" applyBorder="1" applyAlignment="1" applyProtection="1">
      <alignment vertical="center"/>
      <protection locked="0" hidden="1"/>
    </xf>
    <xf numFmtId="0" fontId="14" fillId="10" borderId="7" xfId="0" applyFont="1" applyFill="1" applyBorder="1" applyAlignment="1" applyProtection="1">
      <alignment vertical="center"/>
      <protection locked="0" hidden="1"/>
    </xf>
    <xf numFmtId="0" fontId="14" fillId="11" borderId="6" xfId="0" applyFont="1" applyFill="1" applyBorder="1" applyAlignment="1" applyProtection="1">
      <alignment vertical="center"/>
      <protection locked="0" hidden="1"/>
    </xf>
    <xf numFmtId="0" fontId="14" fillId="11" borderId="12" xfId="0" applyFont="1" applyFill="1" applyBorder="1" applyAlignment="1" applyProtection="1">
      <alignment vertical="center"/>
      <protection locked="0" hidden="1"/>
    </xf>
    <xf numFmtId="0" fontId="14" fillId="11" borderId="7" xfId="0" applyFont="1" applyFill="1" applyBorder="1" applyAlignment="1" applyProtection="1">
      <alignment vertical="center"/>
      <protection locked="0" hidden="1"/>
    </xf>
    <xf numFmtId="0" fontId="14" fillId="12" borderId="6" xfId="0" applyFont="1" applyFill="1" applyBorder="1" applyAlignment="1" applyProtection="1">
      <alignment vertical="center"/>
      <protection locked="0" hidden="1"/>
    </xf>
    <xf numFmtId="0" fontId="14" fillId="12" borderId="7" xfId="0" applyFont="1" applyFill="1" applyBorder="1" applyAlignment="1" applyProtection="1">
      <alignment vertical="center"/>
      <protection locked="0" hidden="1"/>
    </xf>
    <xf numFmtId="0" fontId="14" fillId="13" borderId="6" xfId="0" applyFont="1" applyFill="1" applyBorder="1" applyAlignment="1" applyProtection="1">
      <alignment vertical="center"/>
      <protection locked="0" hidden="1"/>
    </xf>
    <xf numFmtId="0" fontId="14" fillId="13" borderId="12" xfId="0" applyFont="1" applyFill="1" applyBorder="1" applyAlignment="1" applyProtection="1">
      <alignment vertical="center"/>
      <protection locked="0" hidden="1"/>
    </xf>
    <xf numFmtId="0" fontId="14" fillId="13" borderId="7" xfId="0" applyFont="1" applyFill="1" applyBorder="1" applyAlignment="1" applyProtection="1">
      <alignment vertical="center"/>
      <protection locked="0" hidden="1"/>
    </xf>
    <xf numFmtId="0" fontId="14" fillId="6" borderId="12" xfId="0" applyFont="1" applyFill="1" applyBorder="1" applyAlignment="1" applyProtection="1">
      <alignment vertical="center"/>
      <protection locked="0" hidden="1"/>
    </xf>
    <xf numFmtId="0" fontId="14" fillId="5" borderId="8" xfId="0" applyFont="1" applyFill="1" applyBorder="1" applyAlignment="1" applyProtection="1">
      <alignment vertical="center"/>
      <protection locked="0" hidden="1"/>
    </xf>
    <xf numFmtId="0" fontId="14" fillId="5" borderId="5" xfId="0" applyFont="1" applyFill="1" applyAlignment="1" applyProtection="1">
      <alignment vertical="center"/>
      <protection locked="0" hidden="1"/>
    </xf>
    <xf numFmtId="0" fontId="14" fillId="5" borderId="9" xfId="0" applyFont="1" applyFill="1" applyBorder="1" applyAlignment="1" applyProtection="1">
      <alignment vertical="center"/>
      <protection locked="0" hidden="1"/>
    </xf>
    <xf numFmtId="0" fontId="25" fillId="14" borderId="13" xfId="0" applyFont="1" applyFill="1" applyBorder="1" applyAlignment="1" applyProtection="1">
      <alignment horizontal="center" vertical="center" wrapText="1"/>
      <protection locked="0" hidden="1"/>
    </xf>
    <xf numFmtId="0" fontId="16" fillId="14" borderId="13" xfId="0" applyFont="1" applyFill="1" applyBorder="1" applyAlignment="1" applyProtection="1">
      <alignment horizontal="right" wrapText="1"/>
      <protection locked="0" hidden="1"/>
    </xf>
    <xf numFmtId="169" fontId="21" fillId="18" borderId="5" xfId="0" applyNumberFormat="1" applyFont="1" applyFill="1" applyAlignment="1" applyProtection="1">
      <alignment horizontal="right" vertical="center"/>
      <protection locked="0" hidden="1"/>
    </xf>
    <xf numFmtId="0" fontId="22" fillId="18" borderId="5" xfId="0" applyFont="1" applyFill="1" applyAlignment="1" applyProtection="1">
      <alignment horizontal="left" vertical="center" indent="1"/>
      <protection locked="0" hidden="1"/>
    </xf>
    <xf numFmtId="0" fontId="22" fillId="18" borderId="9" xfId="0" applyFont="1" applyFill="1" applyBorder="1" applyAlignment="1" applyProtection="1">
      <alignment horizontal="left" vertical="center" indent="1"/>
      <protection locked="0" hidden="1"/>
    </xf>
    <xf numFmtId="0" fontId="2" fillId="0" borderId="0" xfId="0" applyFont="1" applyBorder="1" applyAlignment="1" applyProtection="1">
      <alignment vertical="center"/>
      <protection locked="0" hidden="1"/>
    </xf>
    <xf numFmtId="169" fontId="21" fillId="19" borderId="5" xfId="0" applyNumberFormat="1" applyFont="1" applyFill="1" applyAlignment="1" applyProtection="1">
      <alignment horizontal="right" vertical="center"/>
      <protection locked="0" hidden="1"/>
    </xf>
    <xf numFmtId="0" fontId="22" fillId="19" borderId="5" xfId="0" applyFont="1" applyFill="1" applyAlignment="1" applyProtection="1">
      <alignment horizontal="left" vertical="center" indent="1"/>
      <protection locked="0" hidden="1"/>
    </xf>
    <xf numFmtId="0" fontId="22" fillId="19" borderId="9" xfId="0" applyFont="1" applyFill="1" applyBorder="1" applyAlignment="1" applyProtection="1">
      <alignment horizontal="left" vertical="center" indent="1"/>
      <protection locked="0" hidden="1"/>
    </xf>
    <xf numFmtId="0" fontId="21" fillId="18" borderId="8" xfId="0" applyFont="1" applyFill="1" applyBorder="1" applyAlignment="1" applyProtection="1">
      <alignment horizontal="left" vertical="center" indent="1"/>
      <protection locked="0" hidden="1"/>
    </xf>
    <xf numFmtId="166" fontId="21" fillId="19" borderId="5" xfId="0" applyNumberFormat="1" applyFont="1" applyFill="1" applyAlignment="1" applyProtection="1">
      <alignment horizontal="right" vertical="center"/>
      <protection locked="0" hidden="1"/>
    </xf>
    <xf numFmtId="166" fontId="21" fillId="18" borderId="5" xfId="0" applyNumberFormat="1" applyFont="1" applyFill="1" applyAlignment="1" applyProtection="1">
      <alignment horizontal="right" vertical="center"/>
      <protection locked="0" hidden="1"/>
    </xf>
    <xf numFmtId="3" fontId="21" fillId="18" borderId="5" xfId="0" applyNumberFormat="1" applyFont="1" applyFill="1" applyAlignment="1" applyProtection="1">
      <alignment horizontal="right" vertical="center"/>
      <protection locked="0" hidden="1"/>
    </xf>
    <xf numFmtId="0" fontId="14" fillId="7" borderId="12" xfId="0" applyFont="1" applyFill="1" applyBorder="1" applyAlignment="1" applyProtection="1">
      <alignment vertical="center"/>
      <protection locked="0" hidden="1"/>
    </xf>
    <xf numFmtId="0" fontId="24" fillId="14" borderId="13" xfId="0" applyFont="1" applyFill="1" applyBorder="1" applyAlignment="1" applyProtection="1">
      <alignment horizontal="center" vertical="center" wrapText="1"/>
      <protection locked="0" hidden="1"/>
    </xf>
    <xf numFmtId="0" fontId="40" fillId="18" borderId="8" xfId="0" applyFont="1" applyFill="1" applyBorder="1" applyAlignment="1" applyProtection="1">
      <alignment horizontal="left" vertical="center"/>
      <protection locked="0" hidden="1"/>
    </xf>
    <xf numFmtId="3" fontId="40" fillId="18" borderId="5" xfId="0" applyNumberFormat="1" applyFont="1" applyFill="1" applyAlignment="1" applyProtection="1">
      <alignment horizontal="center" vertical="center"/>
      <protection locked="0" hidden="1"/>
    </xf>
    <xf numFmtId="169" fontId="40" fillId="18" borderId="5" xfId="0" applyNumberFormat="1" applyFont="1" applyFill="1" applyAlignment="1" applyProtection="1">
      <alignment horizontal="center" vertical="center"/>
      <protection locked="0" hidden="1"/>
    </xf>
    <xf numFmtId="166" fontId="40" fillId="18" borderId="5" xfId="0" applyNumberFormat="1" applyFont="1" applyFill="1" applyAlignment="1" applyProtection="1">
      <alignment horizontal="center" vertical="center"/>
      <protection locked="0" hidden="1"/>
    </xf>
    <xf numFmtId="0" fontId="40" fillId="19" borderId="8" xfId="0" applyFont="1" applyFill="1" applyBorder="1" applyAlignment="1" applyProtection="1">
      <alignment horizontal="left" vertical="center"/>
      <protection locked="0" hidden="1"/>
    </xf>
    <xf numFmtId="3" fontId="40" fillId="19" borderId="5" xfId="0" applyNumberFormat="1" applyFont="1" applyFill="1" applyAlignment="1" applyProtection="1">
      <alignment horizontal="center" vertical="center"/>
      <protection locked="0" hidden="1"/>
    </xf>
    <xf numFmtId="169" fontId="40" fillId="19" borderId="5" xfId="0" applyNumberFormat="1" applyFont="1" applyFill="1" applyAlignment="1" applyProtection="1">
      <alignment horizontal="center" vertical="center"/>
      <protection locked="0" hidden="1"/>
    </xf>
    <xf numFmtId="166" fontId="40" fillId="19" borderId="5" xfId="0" applyNumberFormat="1" applyFont="1" applyFill="1" applyAlignment="1" applyProtection="1">
      <alignment horizontal="center" vertical="center"/>
      <protection locked="0" hidden="1"/>
    </xf>
    <xf numFmtId="0" fontId="20" fillId="4" borderId="5" xfId="0" applyFont="1" applyFill="1" applyAlignment="1" applyProtection="1">
      <alignment vertical="center"/>
      <protection locked="0" hidden="1"/>
    </xf>
    <xf numFmtId="3" fontId="41" fillId="18" borderId="5" xfId="0" applyNumberFormat="1" applyFont="1" applyFill="1" applyAlignment="1" applyProtection="1">
      <alignment horizontal="center" vertical="center"/>
      <protection locked="0" hidden="1"/>
    </xf>
    <xf numFmtId="166" fontId="40" fillId="18" borderId="9" xfId="0" applyNumberFormat="1" applyFont="1" applyFill="1" applyBorder="1" applyAlignment="1" applyProtection="1">
      <alignment horizontal="center" vertical="center"/>
      <protection locked="0" hidden="1"/>
    </xf>
    <xf numFmtId="3" fontId="41" fillId="19" borderId="5" xfId="0" applyNumberFormat="1" applyFont="1" applyFill="1" applyAlignment="1" applyProtection="1">
      <alignment horizontal="center" vertical="center"/>
      <protection locked="0" hidden="1"/>
    </xf>
    <xf numFmtId="166" fontId="40" fillId="19" borderId="9" xfId="0" applyNumberFormat="1" applyFont="1" applyFill="1" applyBorder="1" applyAlignment="1" applyProtection="1">
      <alignment horizontal="center" vertical="center"/>
      <protection locked="0" hidden="1"/>
    </xf>
    <xf numFmtId="0" fontId="14" fillId="9" borderId="12" xfId="0" applyFont="1" applyFill="1" applyBorder="1" applyAlignment="1" applyProtection="1">
      <alignment vertical="center"/>
      <protection locked="0" hidden="1"/>
    </xf>
    <xf numFmtId="0" fontId="37" fillId="21" borderId="8" xfId="0" applyFont="1" applyFill="1" applyBorder="1" applyAlignment="1" applyProtection="1">
      <alignment vertical="center"/>
      <protection locked="0" hidden="1"/>
    </xf>
    <xf numFmtId="3" fontId="27" fillId="18" borderId="5" xfId="0" applyNumberFormat="1" applyFont="1" applyFill="1" applyAlignment="1" applyProtection="1">
      <alignment horizontal="center" vertical="center"/>
      <protection locked="0" hidden="1"/>
    </xf>
    <xf numFmtId="169" fontId="21" fillId="18" borderId="5" xfId="0" applyNumberFormat="1" applyFont="1" applyFill="1" applyAlignment="1" applyProtection="1">
      <alignment horizontal="center" vertical="center"/>
      <protection locked="0" hidden="1"/>
    </xf>
    <xf numFmtId="166" fontId="21" fillId="18" borderId="5" xfId="0" applyNumberFormat="1" applyFont="1" applyFill="1" applyAlignment="1" applyProtection="1">
      <alignment horizontal="center" vertical="center"/>
      <protection locked="0" hidden="1"/>
    </xf>
    <xf numFmtId="169" fontId="21" fillId="18" borderId="9" xfId="0" applyNumberFormat="1" applyFont="1" applyFill="1" applyBorder="1" applyAlignment="1" applyProtection="1">
      <alignment horizontal="center" vertical="center"/>
      <protection locked="0" hidden="1"/>
    </xf>
    <xf numFmtId="3" fontId="27" fillId="19" borderId="5" xfId="0" applyNumberFormat="1" applyFont="1" applyFill="1" applyAlignment="1" applyProtection="1">
      <alignment horizontal="center" vertical="center"/>
      <protection locked="0" hidden="1"/>
    </xf>
    <xf numFmtId="169" fontId="21" fillId="19" borderId="5" xfId="0" applyNumberFormat="1" applyFont="1" applyFill="1" applyAlignment="1" applyProtection="1">
      <alignment horizontal="center" vertical="center"/>
      <protection locked="0" hidden="1"/>
    </xf>
    <xf numFmtId="166" fontId="21" fillId="19" borderId="5" xfId="0" applyNumberFormat="1" applyFont="1" applyFill="1" applyAlignment="1" applyProtection="1">
      <alignment horizontal="center" vertical="center"/>
      <protection locked="0" hidden="1"/>
    </xf>
    <xf numFmtId="169" fontId="21" fillId="19" borderId="9" xfId="0" applyNumberFormat="1" applyFont="1" applyFill="1" applyBorder="1" applyAlignment="1" applyProtection="1">
      <alignment horizontal="center" vertical="center"/>
      <protection locked="0" hidden="1"/>
    </xf>
    <xf numFmtId="0" fontId="21" fillId="19" borderId="8" xfId="0" applyFont="1" applyFill="1" applyBorder="1" applyAlignment="1" applyProtection="1">
      <alignment horizontal="left" vertical="center" indent="1"/>
      <protection locked="0" hidden="1"/>
    </xf>
    <xf numFmtId="3" fontId="27" fillId="19" borderId="5" xfId="0" applyNumberFormat="1" applyFont="1" applyFill="1" applyAlignment="1" applyProtection="1">
      <alignment horizontal="right" vertical="center"/>
      <protection locked="0" hidden="1"/>
    </xf>
    <xf numFmtId="169" fontId="21" fillId="19" borderId="9" xfId="0" applyNumberFormat="1" applyFont="1" applyFill="1" applyBorder="1" applyAlignment="1" applyProtection="1">
      <alignment horizontal="right" vertical="center"/>
      <protection locked="0" hidden="1"/>
    </xf>
    <xf numFmtId="3" fontId="27" fillId="18" borderId="5" xfId="0" applyNumberFormat="1" applyFont="1" applyFill="1" applyAlignment="1" applyProtection="1">
      <alignment horizontal="right" vertical="center"/>
      <protection locked="0" hidden="1"/>
    </xf>
    <xf numFmtId="169" fontId="21" fillId="18" borderId="9" xfId="0" applyNumberFormat="1" applyFont="1" applyFill="1" applyBorder="1" applyAlignment="1" applyProtection="1">
      <alignment horizontal="right" vertical="center"/>
      <protection locked="0" hidden="1"/>
    </xf>
    <xf numFmtId="0" fontId="14" fillId="10" borderId="12" xfId="0" applyFont="1" applyFill="1" applyBorder="1" applyAlignment="1" applyProtection="1">
      <alignment vertical="center"/>
      <protection locked="0" hidden="1"/>
    </xf>
    <xf numFmtId="0" fontId="24" fillId="14" borderId="13" xfId="0" applyFont="1" applyFill="1" applyBorder="1" applyAlignment="1" applyProtection="1">
      <alignment horizontal="right" vertical="center" wrapText="1"/>
      <protection locked="0" hidden="1"/>
    </xf>
    <xf numFmtId="0" fontId="21" fillId="18" borderId="5" xfId="0" applyFont="1" applyFill="1" applyAlignment="1" applyProtection="1">
      <alignment horizontal="left" vertical="center" indent="1"/>
      <protection locked="0" hidden="1"/>
    </xf>
    <xf numFmtId="0" fontId="21" fillId="18" borderId="9" xfId="0" applyFont="1" applyFill="1" applyBorder="1" applyAlignment="1" applyProtection="1">
      <alignment horizontal="left" vertical="center" indent="1"/>
      <protection locked="0" hidden="1"/>
    </xf>
    <xf numFmtId="0" fontId="21" fillId="19" borderId="5" xfId="0" applyFont="1" applyFill="1" applyAlignment="1" applyProtection="1">
      <alignment horizontal="left" vertical="center" indent="1"/>
      <protection locked="0" hidden="1"/>
    </xf>
    <xf numFmtId="0" fontId="21" fillId="19" borderId="9" xfId="0" applyFont="1" applyFill="1" applyBorder="1" applyAlignment="1" applyProtection="1">
      <alignment horizontal="left" vertical="center" indent="1"/>
      <protection locked="0" hidden="1"/>
    </xf>
    <xf numFmtId="0" fontId="14" fillId="5" borderId="10" xfId="0" applyFont="1" applyFill="1" applyBorder="1" applyAlignment="1" applyProtection="1">
      <alignment vertical="center"/>
      <protection locked="0" hidden="1"/>
    </xf>
    <xf numFmtId="0" fontId="14" fillId="5" borderId="13" xfId="0" applyFont="1" applyFill="1" applyBorder="1" applyAlignment="1" applyProtection="1">
      <alignment vertical="center"/>
      <protection locked="0" hidden="1"/>
    </xf>
    <xf numFmtId="0" fontId="14" fillId="5" borderId="11" xfId="0" applyFont="1" applyFill="1" applyBorder="1" applyAlignment="1" applyProtection="1">
      <alignment vertical="center"/>
      <protection locked="0" hidden="1"/>
    </xf>
    <xf numFmtId="0" fontId="1" fillId="2" borderId="0" xfId="0" applyFont="1" applyFill="1" applyBorder="1" applyAlignment="1" applyProtection="1">
      <alignment horizontal="left" vertical="center" indent="1"/>
      <protection locked="0" hidden="1"/>
    </xf>
    <xf numFmtId="0" fontId="1" fillId="2" borderId="0" xfId="0" applyFont="1" applyFill="1" applyBorder="1" applyAlignment="1" applyProtection="1">
      <alignment vertical="center"/>
      <protection locked="0" hidden="1"/>
    </xf>
    <xf numFmtId="0" fontId="13" fillId="16" borderId="0" xfId="0" applyFont="1" applyFill="1" applyBorder="1" applyAlignment="1" applyProtection="1">
      <alignment horizontal="left" vertical="center" indent="1"/>
      <protection locked="0" hidden="1"/>
    </xf>
    <xf numFmtId="0" fontId="6" fillId="16" borderId="0" xfId="0" applyFont="1" applyFill="1" applyBorder="1" applyAlignment="1" applyProtection="1">
      <alignment vertical="center"/>
      <protection locked="0" hidden="1"/>
    </xf>
    <xf numFmtId="0" fontId="42" fillId="0" borderId="5" xfId="0" applyFont="1" applyAlignment="1" applyProtection="1">
      <alignment vertical="center"/>
      <protection locked="0" hidden="1"/>
    </xf>
    <xf numFmtId="0" fontId="4" fillId="0" borderId="0" xfId="0" applyFont="1" applyBorder="1" applyProtection="1">
      <protection locked="0" hidden="1"/>
    </xf>
    <xf numFmtId="0" fontId="43" fillId="0" borderId="5" xfId="0" applyFont="1" applyAlignment="1" applyProtection="1">
      <alignment vertical="center" wrapText="1"/>
      <protection locked="0" hidden="1"/>
    </xf>
    <xf numFmtId="0" fontId="2" fillId="0" borderId="5" xfId="0" applyFont="1" applyProtection="1">
      <protection locked="0" hidden="1"/>
    </xf>
    <xf numFmtId="0" fontId="8" fillId="0" borderId="5" xfId="0" applyFont="1" applyAlignment="1" applyProtection="1">
      <alignment vertical="center" wrapText="1"/>
      <protection locked="0" hidden="1"/>
    </xf>
    <xf numFmtId="3" fontId="50" fillId="17" borderId="5" xfId="0" applyNumberFormat="1" applyFont="1" applyFill="1" applyAlignment="1" applyProtection="1">
      <alignment horizontal="center" vertical="center"/>
      <protection locked="0" hidden="1"/>
    </xf>
    <xf numFmtId="166" fontId="50" fillId="17" borderId="5" xfId="0" applyNumberFormat="1" applyFont="1" applyFill="1" applyAlignment="1" applyProtection="1">
      <alignment horizontal="center" vertical="center"/>
      <protection locked="0" hidden="1"/>
    </xf>
    <xf numFmtId="0" fontId="2" fillId="0" borderId="5" xfId="0" applyFont="1" applyAlignment="1" applyProtection="1">
      <alignment vertical="center"/>
      <protection locked="0" hidden="1"/>
    </xf>
    <xf numFmtId="0" fontId="44" fillId="22" borderId="19" xfId="0" applyFont="1" applyFill="1" applyBorder="1" applyAlignment="1" applyProtection="1">
      <alignment vertical="center"/>
      <protection locked="0" hidden="1"/>
    </xf>
    <xf numFmtId="0" fontId="40" fillId="0" borderId="5" xfId="0" applyFont="1" applyAlignment="1" applyProtection="1">
      <alignment vertical="center"/>
      <protection locked="0" hidden="1"/>
    </xf>
    <xf numFmtId="0" fontId="21" fillId="23" borderId="19" xfId="0" applyFont="1" applyFill="1" applyBorder="1" applyAlignment="1" applyProtection="1">
      <alignment vertical="center"/>
      <protection locked="0" hidden="1"/>
    </xf>
    <xf numFmtId="0" fontId="21" fillId="0" borderId="19" xfId="0" applyFont="1" applyBorder="1" applyAlignment="1" applyProtection="1">
      <alignment vertical="center"/>
      <protection locked="0" hidden="1"/>
    </xf>
    <xf numFmtId="0" fontId="48" fillId="16" borderId="0" xfId="0" applyFont="1" applyFill="1" applyBorder="1" applyAlignment="1" applyProtection="1">
      <alignment horizontal="left" vertical="center" indent="1"/>
      <protection locked="0" hidden="1"/>
    </xf>
    <xf numFmtId="0" fontId="28" fillId="16" borderId="0" xfId="0" applyFont="1" applyFill="1" applyBorder="1" applyAlignment="1" applyProtection="1">
      <alignment vertical="center"/>
      <protection locked="0" hidden="1"/>
    </xf>
    <xf numFmtId="0" fontId="29" fillId="16" borderId="0" xfId="0" applyFont="1" applyFill="1" applyBorder="1" applyAlignment="1" applyProtection="1">
      <alignment vertical="center"/>
      <protection locked="0" hidden="1"/>
    </xf>
    <xf numFmtId="0" fontId="6" fillId="2" borderId="20" xfId="0" applyFont="1" applyFill="1" applyBorder="1" applyAlignment="1" applyProtection="1">
      <alignment horizontal="center" vertical="center" wrapText="1"/>
      <protection locked="0" hidden="1"/>
    </xf>
    <xf numFmtId="0" fontId="37" fillId="21" borderId="20" xfId="0" applyFont="1" applyFill="1" applyBorder="1" applyAlignment="1" applyProtection="1">
      <alignment vertical="center"/>
      <protection locked="0" hidden="1"/>
    </xf>
    <xf numFmtId="3" fontId="37" fillId="21" borderId="20" xfId="0" applyNumberFormat="1" applyFont="1" applyFill="1" applyBorder="1" applyAlignment="1" applyProtection="1">
      <alignment vertical="center"/>
      <protection locked="0" hidden="1"/>
    </xf>
    <xf numFmtId="171" fontId="37" fillId="21" borderId="20" xfId="0" applyNumberFormat="1" applyFont="1" applyFill="1" applyBorder="1" applyAlignment="1" applyProtection="1">
      <alignment vertical="center"/>
      <protection locked="0" hidden="1"/>
    </xf>
    <xf numFmtId="0" fontId="5" fillId="17" borderId="20" xfId="0" applyFont="1" applyFill="1" applyBorder="1" applyAlignment="1" applyProtection="1">
      <alignment vertical="center"/>
      <protection locked="0" hidden="1"/>
    </xf>
    <xf numFmtId="169" fontId="5" fillId="17" borderId="20" xfId="0" applyNumberFormat="1" applyFont="1" applyFill="1" applyBorder="1" applyAlignment="1" applyProtection="1">
      <alignment vertical="center"/>
      <protection locked="0" hidden="1"/>
    </xf>
    <xf numFmtId="0" fontId="13" fillId="16" borderId="0" xfId="0" applyFont="1" applyFill="1" applyBorder="1" applyAlignment="1" applyProtection="1">
      <alignment vertical="center"/>
      <protection locked="0" hidden="1"/>
    </xf>
    <xf numFmtId="0" fontId="7" fillId="2" borderId="1" xfId="0" applyFont="1" applyFill="1" applyBorder="1" applyAlignment="1" applyProtection="1">
      <alignment horizontal="center" vertical="center" wrapText="1"/>
      <protection locked="0" hidden="1"/>
    </xf>
    <xf numFmtId="0" fontId="37" fillId="21" borderId="18" xfId="0" applyFont="1" applyFill="1" applyBorder="1" applyAlignment="1" applyProtection="1">
      <alignment vertical="center"/>
      <protection locked="0" hidden="1"/>
    </xf>
    <xf numFmtId="171" fontId="37" fillId="21" borderId="18" xfId="0" applyNumberFormat="1" applyFont="1" applyFill="1" applyBorder="1" applyAlignment="1" applyProtection="1">
      <alignment vertical="center"/>
      <protection locked="0" hidden="1"/>
    </xf>
    <xf numFmtId="4" fontId="37" fillId="21" borderId="18" xfId="0" applyNumberFormat="1" applyFont="1" applyFill="1" applyBorder="1" applyAlignment="1" applyProtection="1">
      <alignment vertical="center"/>
      <protection locked="0" hidden="1"/>
    </xf>
    <xf numFmtId="164" fontId="8" fillId="0" borderId="1" xfId="0" applyNumberFormat="1" applyFont="1" applyBorder="1" applyProtection="1">
      <protection locked="0" hidden="1"/>
    </xf>
    <xf numFmtId="165" fontId="8" fillId="0" borderId="1" xfId="0" applyNumberFormat="1" applyFont="1" applyBorder="1" applyProtection="1">
      <protection locked="0" hidden="1"/>
    </xf>
    <xf numFmtId="0" fontId="5" fillId="17" borderId="1" xfId="0" applyFont="1" applyFill="1" applyBorder="1" applyProtection="1">
      <protection locked="0" hidden="1"/>
    </xf>
    <xf numFmtId="169" fontId="5" fillId="17" borderId="1" xfId="0" applyNumberFormat="1" applyFont="1" applyFill="1" applyBorder="1" applyProtection="1">
      <protection locked="0" hidden="1"/>
    </xf>
    <xf numFmtId="172" fontId="37" fillId="21" borderId="18" xfId="0" applyNumberFormat="1" applyFont="1" applyFill="1" applyBorder="1" applyAlignment="1" applyProtection="1">
      <alignment vertical="center"/>
      <protection locked="0" hidden="1"/>
    </xf>
    <xf numFmtId="168" fontId="8" fillId="0" borderId="1" xfId="0" applyNumberFormat="1" applyFont="1" applyBorder="1" applyProtection="1">
      <protection locked="0" hidden="1"/>
    </xf>
    <xf numFmtId="167" fontId="8" fillId="0" borderId="1" xfId="0" applyNumberFormat="1" applyFont="1" applyBorder="1" applyProtection="1">
      <protection locked="0" hidden="1"/>
    </xf>
    <xf numFmtId="0" fontId="8" fillId="0" borderId="1" xfId="0" applyFont="1" applyBorder="1" applyAlignment="1" applyProtection="1">
      <alignment horizontal="center"/>
      <protection locked="0" hidden="1"/>
    </xf>
    <xf numFmtId="170" fontId="37" fillId="21" borderId="18" xfId="0" applyNumberFormat="1" applyFont="1" applyFill="1" applyBorder="1" applyAlignment="1" applyProtection="1">
      <alignment vertical="center"/>
      <protection locked="0" hidden="1"/>
    </xf>
    <xf numFmtId="3" fontId="37" fillId="21" borderId="18" xfId="0" applyNumberFormat="1" applyFont="1" applyFill="1" applyBorder="1" applyAlignment="1" applyProtection="1">
      <alignment vertical="center"/>
      <protection locked="0" hidden="1"/>
    </xf>
    <xf numFmtId="9" fontId="37" fillId="21" borderId="18" xfId="0" applyNumberFormat="1" applyFont="1" applyFill="1" applyBorder="1" applyAlignment="1" applyProtection="1">
      <alignment vertical="center"/>
      <protection locked="0" hidden="1"/>
    </xf>
    <xf numFmtId="170" fontId="37" fillId="21" borderId="21" xfId="0" applyNumberFormat="1" applyFont="1" applyFill="1" applyBorder="1" applyAlignment="1" applyProtection="1">
      <alignment vertical="center"/>
      <protection locked="0" hidden="1"/>
    </xf>
    <xf numFmtId="0" fontId="37" fillId="21" borderId="21" xfId="0" applyFont="1" applyFill="1" applyBorder="1" applyAlignment="1" applyProtection="1">
      <alignment vertical="center"/>
      <protection locked="0" hidden="1"/>
    </xf>
    <xf numFmtId="3" fontId="37" fillId="21" borderId="21" xfId="0" applyNumberFormat="1" applyFont="1" applyFill="1" applyBorder="1" applyAlignment="1" applyProtection="1">
      <alignment vertical="center"/>
      <protection locked="0" hidden="1"/>
    </xf>
    <xf numFmtId="9" fontId="37" fillId="21" borderId="21" xfId="0" applyNumberFormat="1" applyFont="1" applyFill="1" applyBorder="1" applyAlignment="1" applyProtection="1">
      <alignment vertical="center"/>
      <protection locked="0" hidden="1"/>
    </xf>
    <xf numFmtId="0" fontId="30" fillId="0" borderId="0" xfId="0" applyFont="1" applyBorder="1" applyAlignment="1" applyProtection="1">
      <alignment vertical="center"/>
      <protection locked="0" hidden="1"/>
    </xf>
    <xf numFmtId="0" fontId="31" fillId="0" borderId="0" xfId="0" applyFont="1" applyBorder="1" applyAlignment="1" applyProtection="1">
      <alignment horizontal="center" vertical="center"/>
      <protection locked="0" hidden="1"/>
    </xf>
    <xf numFmtId="0" fontId="3" fillId="20" borderId="0" xfId="0" applyFont="1" applyFill="1" applyBorder="1" applyAlignment="1" applyProtection="1">
      <alignment horizontal="center" vertical="center"/>
      <protection locked="0" hidden="1"/>
    </xf>
    <xf numFmtId="0" fontId="33" fillId="0" borderId="17" xfId="0" applyFont="1" applyBorder="1" applyAlignment="1" applyProtection="1">
      <alignment vertical="center"/>
      <protection locked="0" hidden="1"/>
    </xf>
    <xf numFmtId="0" fontId="32" fillId="0" borderId="17" xfId="0" applyFont="1" applyBorder="1" applyAlignment="1" applyProtection="1">
      <alignment vertical="center" wrapText="1"/>
      <protection locked="0" hidden="1"/>
    </xf>
    <xf numFmtId="0" fontId="34" fillId="0" borderId="17" xfId="0" applyFont="1" applyBorder="1" applyAlignment="1" applyProtection="1">
      <alignment horizontal="center" vertical="center"/>
      <protection locked="0" hidden="1"/>
    </xf>
    <xf numFmtId="0" fontId="47" fillId="24" borderId="5" xfId="0" applyFont="1" applyFill="1" applyAlignment="1" applyProtection="1">
      <alignment horizontal="left" vertical="center" wrapText="1"/>
      <protection locked="0" hidden="1"/>
    </xf>
    <xf numFmtId="0" fontId="12" fillId="15" borderId="4" xfId="0" applyFont="1" applyFill="1" applyBorder="1" applyAlignment="1" applyProtection="1">
      <alignment horizontal="center" vertical="center" wrapText="1"/>
      <protection locked="0" hidden="1"/>
    </xf>
    <xf numFmtId="0" fontId="0" fillId="0" borderId="2" xfId="0" applyBorder="1" applyProtection="1">
      <protection locked="0" hidden="1"/>
    </xf>
    <xf numFmtId="0" fontId="0" fillId="0" borderId="3" xfId="0" applyBorder="1" applyProtection="1">
      <protection locked="0" hidden="1"/>
    </xf>
    <xf numFmtId="0" fontId="8" fillId="0" borderId="5" xfId="0" applyFont="1" applyAlignment="1" applyProtection="1">
      <alignment horizontal="left" vertical="center" wrapText="1" indent="1"/>
      <protection locked="0" hidden="1"/>
    </xf>
    <xf numFmtId="0" fontId="0" fillId="0" borderId="5" xfId="0" applyProtection="1">
      <protection locked="0" hidden="1"/>
    </xf>
    <xf numFmtId="0" fontId="46" fillId="0" borderId="5" xfId="0" applyFont="1" applyAlignment="1" applyProtection="1">
      <alignment horizontal="left" wrapText="1"/>
      <protection locked="0" hidden="1"/>
    </xf>
    <xf numFmtId="0" fontId="19" fillId="5" borderId="14" xfId="0" applyFont="1" applyFill="1" applyBorder="1" applyAlignment="1" applyProtection="1">
      <alignment vertical="center" indent="1"/>
      <protection locked="0" hidden="1"/>
    </xf>
    <xf numFmtId="0" fontId="2" fillId="0" borderId="0" xfId="0" applyFont="1" applyBorder="1" applyProtection="1">
      <protection locked="0" hidden="1"/>
    </xf>
    <xf numFmtId="0" fontId="0" fillId="0" borderId="15" xfId="0" applyBorder="1" applyProtection="1">
      <protection locked="0" hidden="1"/>
    </xf>
    <xf numFmtId="0" fontId="11" fillId="5" borderId="14" xfId="0" applyFont="1" applyFill="1" applyBorder="1" applyAlignment="1" applyProtection="1">
      <alignment vertical="center" indent="1"/>
      <protection locked="0" hidden="1"/>
    </xf>
    <xf numFmtId="0" fontId="26" fillId="0" borderId="0" xfId="0" applyFont="1" applyBorder="1" applyProtection="1">
      <protection locked="0" hidden="1"/>
    </xf>
    <xf numFmtId="0" fontId="39" fillId="0" borderId="15" xfId="0" applyFont="1" applyBorder="1" applyProtection="1">
      <protection locked="0" hidden="1"/>
    </xf>
    <xf numFmtId="0" fontId="24" fillId="5" borderId="14" xfId="0" applyFont="1" applyFill="1" applyBorder="1" applyAlignment="1" applyProtection="1">
      <alignment vertical="center" wrapText="1" indent="1"/>
      <protection locked="0" hidden="1"/>
    </xf>
    <xf numFmtId="0" fontId="24" fillId="14" borderId="5" xfId="0" applyFont="1" applyFill="1" applyAlignment="1" applyProtection="1">
      <alignment horizontal="center" vertical="center" wrapText="1"/>
      <protection locked="0" hidden="1"/>
    </xf>
    <xf numFmtId="0" fontId="40" fillId="18" borderId="5" xfId="0" applyFont="1" applyFill="1" applyAlignment="1" applyProtection="1">
      <alignment horizontal="left" vertical="center" wrapText="1"/>
      <protection locked="0" hidden="1"/>
    </xf>
    <xf numFmtId="0" fontId="40" fillId="18" borderId="15" xfId="0" applyFont="1" applyFill="1" applyBorder="1" applyAlignment="1" applyProtection="1">
      <alignment horizontal="left" vertical="center" wrapText="1"/>
      <protection locked="0" hidden="1"/>
    </xf>
    <xf numFmtId="0" fontId="40" fillId="19" borderId="5" xfId="0" applyFont="1" applyFill="1" applyAlignment="1" applyProtection="1">
      <alignment horizontal="left" vertical="center" wrapText="1"/>
      <protection locked="0" hidden="1"/>
    </xf>
    <xf numFmtId="0" fontId="40" fillId="19" borderId="15" xfId="0" applyFont="1" applyFill="1" applyBorder="1" applyAlignment="1" applyProtection="1">
      <alignment horizontal="left" vertical="center" wrapText="1"/>
      <protection locked="0" hidden="1"/>
    </xf>
    <xf numFmtId="0" fontId="38" fillId="4" borderId="5" xfId="0" applyFont="1" applyFill="1" applyAlignment="1" applyProtection="1">
      <alignment vertical="center"/>
      <protection locked="0" hidden="1"/>
    </xf>
    <xf numFmtId="0" fontId="38" fillId="0" borderId="0" xfId="0" applyFont="1" applyBorder="1" applyProtection="1">
      <protection locked="0" hidden="1"/>
    </xf>
    <xf numFmtId="0" fontId="16" fillId="5" borderId="14" xfId="0" applyFont="1" applyFill="1" applyBorder="1" applyAlignment="1" applyProtection="1">
      <alignment horizontal="center" vertical="center"/>
      <protection locked="0" hidden="1"/>
    </xf>
    <xf numFmtId="166" fontId="18" fillId="18" borderId="16" xfId="0" applyNumberFormat="1" applyFont="1" applyFill="1" applyBorder="1" applyAlignment="1" applyProtection="1">
      <alignment horizontal="center" vertical="center"/>
      <protection locked="0" hidden="1"/>
    </xf>
    <xf numFmtId="0" fontId="0" fillId="0" borderId="13" xfId="0" applyBorder="1" applyProtection="1">
      <protection locked="0" hidden="1"/>
    </xf>
    <xf numFmtId="0" fontId="0" fillId="0" borderId="11" xfId="0" applyBorder="1" applyProtection="1">
      <protection locked="0" hidden="1"/>
    </xf>
    <xf numFmtId="0" fontId="21" fillId="18" borderId="6" xfId="0" applyFont="1" applyFill="1" applyBorder="1" applyAlignment="1" applyProtection="1">
      <alignment horizontal="left" vertical="center" wrapText="1" indent="1"/>
      <protection locked="0" hidden="1"/>
    </xf>
    <xf numFmtId="0" fontId="0" fillId="0" borderId="12" xfId="0" applyBorder="1" applyProtection="1">
      <protection locked="0" hidden="1"/>
    </xf>
    <xf numFmtId="169" fontId="18" fillId="18" borderId="16" xfId="0" applyNumberFormat="1" applyFont="1" applyFill="1" applyBorder="1" applyAlignment="1" applyProtection="1">
      <alignment horizontal="center" vertical="center"/>
      <protection locked="0" hidden="1"/>
    </xf>
    <xf numFmtId="0" fontId="25" fillId="14" borderId="13" xfId="0" applyFont="1" applyFill="1" applyBorder="1" applyAlignment="1" applyProtection="1">
      <alignment horizontal="center" vertical="center" wrapText="1"/>
      <protection locked="0" hidden="1"/>
    </xf>
    <xf numFmtId="0" fontId="21" fillId="18" borderId="8" xfId="0" applyFont="1" applyFill="1" applyBorder="1" applyAlignment="1" applyProtection="1">
      <alignment horizontal="left" vertical="center" wrapText="1" indent="1"/>
      <protection locked="0" hidden="1"/>
    </xf>
    <xf numFmtId="0" fontId="2" fillId="0" borderId="0" xfId="0" applyFont="1" applyBorder="1" applyAlignment="1" applyProtection="1">
      <alignment vertical="center"/>
      <protection locked="0" hidden="1"/>
    </xf>
    <xf numFmtId="0" fontId="15" fillId="4" borderId="5" xfId="0" applyFont="1" applyFill="1" applyAlignment="1" applyProtection="1">
      <alignment vertical="center"/>
      <protection locked="0" hidden="1"/>
    </xf>
    <xf numFmtId="0" fontId="21" fillId="18" borderId="8" xfId="0" applyFont="1" applyFill="1" applyBorder="1" applyAlignment="1" applyProtection="1">
      <alignment horizontal="left" vertical="center" indent="1"/>
      <protection locked="0" hidden="1"/>
    </xf>
    <xf numFmtId="0" fontId="21" fillId="19" borderId="8" xfId="0" applyFont="1" applyFill="1" applyBorder="1" applyAlignment="1" applyProtection="1">
      <alignment horizontal="left" vertical="center" wrapText="1" indent="1"/>
      <protection locked="0" hidden="1"/>
    </xf>
    <xf numFmtId="0" fontId="17" fillId="5" borderId="14" xfId="0" applyFont="1" applyFill="1" applyBorder="1" applyAlignment="1" applyProtection="1">
      <alignment horizontal="center" vertical="center"/>
      <protection locked="0" hidden="1"/>
    </xf>
    <xf numFmtId="0" fontId="14" fillId="4" borderId="5" xfId="0" applyFont="1" applyFill="1" applyAlignment="1" applyProtection="1">
      <alignment horizontal="center" vertical="center"/>
      <protection locked="0" hidden="1"/>
    </xf>
    <xf numFmtId="0" fontId="1" fillId="5" borderId="14" xfId="0" applyFont="1" applyFill="1" applyBorder="1" applyAlignment="1" applyProtection="1">
      <alignment vertical="center" indent="1"/>
      <protection locked="0" hidden="1"/>
    </xf>
    <xf numFmtId="0" fontId="23" fillId="5" borderId="14" xfId="0" applyFont="1" applyFill="1" applyBorder="1" applyAlignment="1" applyProtection="1">
      <alignment vertical="center" indent="1"/>
      <protection locked="0" hidden="1"/>
    </xf>
    <xf numFmtId="0" fontId="48" fillId="16" borderId="5" xfId="0" applyFont="1" applyFill="1" applyAlignment="1" applyProtection="1">
      <alignment horizontal="left" vertical="center" indent="1"/>
      <protection locked="0" hidden="1"/>
    </xf>
    <xf numFmtId="0" fontId="45" fillId="0" borderId="0" xfId="0" applyFont="1" applyBorder="1" applyProtection="1">
      <protection locked="0" hidden="1"/>
    </xf>
    <xf numFmtId="0" fontId="1" fillId="2" borderId="5" xfId="0" applyFont="1" applyFill="1" applyAlignment="1" applyProtection="1">
      <alignment horizontal="left" vertical="center" indent="1"/>
      <protection locked="0" hidden="1"/>
    </xf>
    <xf numFmtId="0" fontId="35" fillId="0" borderId="5" xfId="0" applyFont="1" applyAlignment="1" applyProtection="1">
      <alignment horizontal="left" vertical="center" wrapText="1"/>
      <protection locked="0" hidden="1"/>
    </xf>
    <xf numFmtId="0" fontId="1" fillId="20" borderId="5" xfId="0" applyFont="1" applyFill="1" applyAlignment="1" applyProtection="1">
      <alignment horizontal="left" vertical="center" indent="1"/>
      <protection locked="0" hidden="1"/>
    </xf>
    <xf numFmtId="0" fontId="49" fillId="23" borderId="5" xfId="0" applyFont="1" applyFill="1" applyAlignment="1" applyProtection="1">
      <alignment horizontal="center" vertical="center" wrapText="1"/>
      <protection locked="0" hidden="1"/>
    </xf>
    <xf numFmtId="0" fontId="4" fillId="0" borderId="5" xfId="0" applyFont="1" applyProtection="1">
      <protection locked="0" hidden="1"/>
    </xf>
    <xf numFmtId="0" fontId="36" fillId="0" borderId="5" xfId="0" applyFont="1" applyAlignment="1" applyProtection="1">
      <alignment horizontal="center" vertical="center"/>
      <protection locked="0" hidden="1"/>
    </xf>
    <xf numFmtId="0" fontId="29" fillId="3" borderId="5" xfId="0" applyFont="1" applyFill="1" applyAlignment="1" applyProtection="1">
      <alignment horizontal="left" vertical="center" indent="1"/>
      <protection locked="0" hidden="1"/>
    </xf>
    <xf numFmtId="0" fontId="40" fillId="0" borderId="5" xfId="0" applyFont="1" applyAlignment="1" applyProtection="1">
      <alignment horizontal="left" vertical="center" wrapText="1"/>
      <protection locked="0" hidden="1"/>
    </xf>
    <xf numFmtId="0" fontId="2" fillId="0" borderId="0" xfId="0" applyFont="1" applyBorder="1" applyAlignment="1" applyProtection="1">
      <alignment horizontal="left" vertical="center"/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6C"/>
      <rgbColor rgb="FFB7C4CE"/>
      <rgbColor rgb="FF808080"/>
      <rgbColor rgb="FF9999FF"/>
      <rgbColor rgb="FF993366"/>
      <rgbColor rgb="FFFFF2CC"/>
      <rgbColor rgb="FFEAF0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14324F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8B29952-CAD3-45AB-820D-5351762316C2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c151f7fd-c015-4a83-8676-a8a6af65a7c5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A2761"/>
  </sheetPr>
  <dimension ref="A1:M77"/>
  <sheetViews>
    <sheetView showGridLines="0" zoomScale="90" zoomScaleNormal="100" workbookViewId="0">
      <selection activeCell="F16" sqref="F16"/>
    </sheetView>
  </sheetViews>
  <sheetFormatPr baseColWidth="10" defaultColWidth="8.6640625" defaultRowHeight="14.4" x14ac:dyDescent="0.3"/>
  <cols>
    <col min="1" max="1" width="2" style="1" customWidth="1"/>
    <col min="2" max="2" width="24" style="1" customWidth="1"/>
    <col min="3" max="3" width="13" style="1" customWidth="1"/>
    <col min="4" max="4" width="17" style="1" customWidth="1"/>
    <col min="5" max="5" width="18" style="1" customWidth="1"/>
    <col min="6" max="6" width="20" style="1" customWidth="1"/>
    <col min="7" max="7" width="13" style="1" customWidth="1"/>
    <col min="8" max="8" width="15" style="1" customWidth="1"/>
    <col min="9" max="9" width="20" style="1" customWidth="1"/>
    <col min="10" max="14" width="2" style="1" customWidth="1"/>
    <col min="15" max="17" width="8.6640625" style="1" customWidth="1"/>
    <col min="18" max="16384" width="8.6640625" style="1"/>
  </cols>
  <sheetData>
    <row r="1" spans="1:10" ht="28.05" customHeight="1" x14ac:dyDescent="0.3">
      <c r="A1" s="13"/>
      <c r="B1" s="172" t="s">
        <v>36</v>
      </c>
      <c r="C1" s="149"/>
      <c r="D1" s="149"/>
      <c r="E1" s="149"/>
      <c r="F1" s="149"/>
      <c r="G1" s="149"/>
      <c r="H1" s="149"/>
      <c r="I1" s="149"/>
      <c r="J1" s="13"/>
    </row>
    <row r="2" spans="1:10" ht="15" customHeight="1" x14ac:dyDescent="0.3">
      <c r="A2" s="13"/>
      <c r="B2" s="160" t="s">
        <v>37</v>
      </c>
      <c r="C2" s="161"/>
      <c r="D2" s="161"/>
      <c r="E2" s="161"/>
      <c r="F2" s="161"/>
      <c r="G2" s="161"/>
      <c r="H2" s="161"/>
      <c r="I2" s="161"/>
      <c r="J2" s="13"/>
    </row>
    <row r="3" spans="1:10" ht="4.05" customHeight="1" x14ac:dyDescent="0.3">
      <c r="A3" s="13"/>
      <c r="B3" s="15"/>
      <c r="C3" s="16"/>
      <c r="D3" s="17"/>
      <c r="E3" s="18"/>
      <c r="F3" s="19"/>
      <c r="G3" s="20"/>
      <c r="H3" s="20"/>
      <c r="I3" s="21"/>
      <c r="J3" s="13"/>
    </row>
    <row r="4" spans="1:10" ht="16.95" customHeight="1" x14ac:dyDescent="0.3">
      <c r="A4" s="13"/>
      <c r="B4" s="162" t="s">
        <v>38</v>
      </c>
      <c r="C4" s="150"/>
      <c r="D4" s="175" t="s">
        <v>39</v>
      </c>
      <c r="E4" s="150"/>
      <c r="F4" s="162" t="s">
        <v>40</v>
      </c>
      <c r="G4" s="149"/>
      <c r="H4" s="149"/>
      <c r="I4" s="150"/>
      <c r="J4" s="13"/>
    </row>
    <row r="5" spans="1:10" ht="33" customHeight="1" x14ac:dyDescent="0.3">
      <c r="A5" s="13"/>
      <c r="B5" s="168">
        <f>SUM(Ventas!$J$5:$J$104)</f>
        <v>10535550</v>
      </c>
      <c r="C5" s="165"/>
      <c r="D5" s="168">
        <f>SUM(Ventas!$L$5:$L$104)</f>
        <v>955060</v>
      </c>
      <c r="E5" s="165"/>
      <c r="F5" s="168">
        <f>SUM(Ventas!$M$5:$M$104)</f>
        <v>9580490</v>
      </c>
      <c r="G5" s="164"/>
      <c r="H5" s="164"/>
      <c r="I5" s="165"/>
      <c r="J5" s="13"/>
    </row>
    <row r="6" spans="1:10" ht="4.05" customHeight="1" x14ac:dyDescent="0.3">
      <c r="A6" s="13"/>
      <c r="B6" s="22"/>
      <c r="C6" s="23"/>
      <c r="D6" s="24"/>
      <c r="E6" s="25"/>
      <c r="F6" s="26"/>
      <c r="G6" s="27"/>
      <c r="H6" s="27"/>
      <c r="I6" s="28"/>
      <c r="J6" s="13"/>
    </row>
    <row r="7" spans="1:10" ht="16.95" customHeight="1" x14ac:dyDescent="0.3">
      <c r="A7" s="13"/>
      <c r="B7" s="162" t="s">
        <v>41</v>
      </c>
      <c r="C7" s="150"/>
      <c r="D7" s="162" t="s">
        <v>42</v>
      </c>
      <c r="E7" s="150"/>
      <c r="F7" s="162" t="s">
        <v>43</v>
      </c>
      <c r="G7" s="149"/>
      <c r="H7" s="149"/>
      <c r="I7" s="150"/>
      <c r="J7" s="13"/>
    </row>
    <row r="8" spans="1:10" ht="33" customHeight="1" x14ac:dyDescent="0.3">
      <c r="A8" s="13"/>
      <c r="B8" s="163">
        <f>IFERROR(SUM(Ventas!$N$5:$N$104)/SUM(Ventas!$J$5:$J$104),0)</f>
        <v>0.32012860268329618</v>
      </c>
      <c r="C8" s="165"/>
      <c r="D8" s="163">
        <f>IFERROR(SUM(Insumos!$M$5:$M$124)/SUM(Ventas!$J$5:$J$104),0)</f>
        <v>1.5025766286525144</v>
      </c>
      <c r="E8" s="165"/>
      <c r="F8" s="163">
        <f>Instrucciones!$C$17</f>
        <v>0.32</v>
      </c>
      <c r="G8" s="164"/>
      <c r="H8" s="164"/>
      <c r="I8" s="165"/>
      <c r="J8" s="13"/>
    </row>
    <row r="9" spans="1:10" ht="4.05" customHeight="1" x14ac:dyDescent="0.3">
      <c r="A9" s="13"/>
      <c r="B9" s="26"/>
      <c r="C9" s="28"/>
      <c r="D9" s="29"/>
      <c r="E9" s="30"/>
      <c r="F9" s="31"/>
      <c r="G9" s="32"/>
      <c r="H9" s="32"/>
      <c r="I9" s="33"/>
      <c r="J9" s="13"/>
    </row>
    <row r="10" spans="1:10" ht="16.95" customHeight="1" x14ac:dyDescent="0.3">
      <c r="A10" s="13"/>
      <c r="B10" s="162" t="s">
        <v>44</v>
      </c>
      <c r="C10" s="150"/>
      <c r="D10" s="162" t="s">
        <v>45</v>
      </c>
      <c r="E10" s="150"/>
      <c r="F10" s="162" t="s">
        <v>46</v>
      </c>
      <c r="G10" s="149"/>
      <c r="H10" s="149"/>
      <c r="I10" s="150"/>
      <c r="J10" s="13"/>
    </row>
    <row r="11" spans="1:10" ht="33" customHeight="1" x14ac:dyDescent="0.3">
      <c r="A11" s="13"/>
      <c r="B11" s="168">
        <f>SUM(Insumos!$K$5:$K$124)</f>
        <v>12457740.300000001</v>
      </c>
      <c r="C11" s="165"/>
      <c r="D11" s="168">
        <f>SUM(Ventas!$O$5:$O$104)</f>
        <v>6207759.0999999978</v>
      </c>
      <c r="E11" s="165"/>
      <c r="F11" s="163">
        <f>IFERROR(SUM(Ventas!$O$5:$O$104)/SUM(Ventas!$J$5:$J$104),0)</f>
        <v>0.58922022106107397</v>
      </c>
      <c r="G11" s="164"/>
      <c r="H11" s="164"/>
      <c r="I11" s="165"/>
      <c r="J11" s="13"/>
    </row>
    <row r="12" spans="1:10" ht="3" customHeight="1" x14ac:dyDescent="0.3">
      <c r="A12" s="13"/>
      <c r="B12" s="15"/>
      <c r="C12" s="34"/>
      <c r="D12" s="34"/>
      <c r="E12" s="34"/>
      <c r="F12" s="34"/>
      <c r="G12" s="34"/>
      <c r="H12" s="34"/>
      <c r="I12" s="16"/>
      <c r="J12" s="13"/>
    </row>
    <row r="13" spans="1:10" x14ac:dyDescent="0.3">
      <c r="A13" s="13"/>
      <c r="B13" s="35"/>
      <c r="C13" s="36"/>
      <c r="D13" s="36"/>
      <c r="E13" s="36"/>
      <c r="F13" s="36"/>
      <c r="G13" s="36"/>
      <c r="H13" s="36"/>
      <c r="I13" s="37"/>
      <c r="J13" s="13"/>
    </row>
    <row r="14" spans="1:10" ht="21" customHeight="1" x14ac:dyDescent="0.3">
      <c r="A14" s="13"/>
      <c r="B14" s="151" t="s">
        <v>47</v>
      </c>
      <c r="C14" s="152"/>
      <c r="D14" s="152"/>
      <c r="E14" s="152"/>
      <c r="F14" s="152"/>
      <c r="G14" s="152"/>
      <c r="H14" s="152"/>
      <c r="I14" s="153"/>
      <c r="J14" s="13"/>
    </row>
    <row r="15" spans="1:10" ht="28.95" customHeight="1" x14ac:dyDescent="0.3">
      <c r="A15" s="13"/>
      <c r="B15" s="169" t="s">
        <v>48</v>
      </c>
      <c r="C15" s="164"/>
      <c r="D15" s="164"/>
      <c r="E15" s="164"/>
      <c r="F15" s="38" t="s">
        <v>49</v>
      </c>
      <c r="G15" s="38"/>
      <c r="H15" s="38"/>
      <c r="I15" s="39"/>
      <c r="J15" s="13"/>
    </row>
    <row r="16" spans="1:10" s="4" customFormat="1" ht="21.6" customHeight="1" x14ac:dyDescent="0.3">
      <c r="A16" s="13"/>
      <c r="B16" s="166" t="s">
        <v>50</v>
      </c>
      <c r="C16" s="167"/>
      <c r="D16" s="167"/>
      <c r="E16" s="167"/>
      <c r="F16" s="40">
        <f>SUM(Insumos!$N$5:$N$124)</f>
        <v>3372730.9</v>
      </c>
      <c r="G16" s="41"/>
      <c r="H16" s="41"/>
      <c r="I16" s="42"/>
      <c r="J16" s="13"/>
    </row>
    <row r="17" spans="1:13" s="4" customFormat="1" ht="21.6" customHeight="1" x14ac:dyDescent="0.3">
      <c r="A17" s="13"/>
      <c r="B17" s="174" t="s">
        <v>51</v>
      </c>
      <c r="C17" s="171"/>
      <c r="D17" s="171"/>
      <c r="E17" s="171"/>
      <c r="F17" s="44">
        <f>SUM(Insumos!$M$5:$M$124)</f>
        <v>15830471.199999999</v>
      </c>
      <c r="G17" s="45"/>
      <c r="H17" s="45"/>
      <c r="I17" s="46"/>
      <c r="J17" s="13"/>
    </row>
    <row r="18" spans="1:13" s="4" customFormat="1" ht="21.6" customHeight="1" x14ac:dyDescent="0.3">
      <c r="A18" s="13"/>
      <c r="B18" s="173" t="s">
        <v>52</v>
      </c>
      <c r="C18" s="171"/>
      <c r="D18" s="171"/>
      <c r="E18" s="171"/>
      <c r="F18" s="40">
        <f>SUM(Insumos!$K$5:$K$124)</f>
        <v>12457740.300000001</v>
      </c>
      <c r="G18" s="41"/>
      <c r="H18" s="41"/>
      <c r="I18" s="42"/>
      <c r="J18" s="13"/>
    </row>
    <row r="19" spans="1:13" s="4" customFormat="1" ht="21.6" customHeight="1" x14ac:dyDescent="0.3">
      <c r="A19" s="13"/>
      <c r="B19" s="174" t="s">
        <v>53</v>
      </c>
      <c r="C19" s="171"/>
      <c r="D19" s="171"/>
      <c r="E19" s="171"/>
      <c r="F19" s="48">
        <f>IFERROR(SUM(Insumos!$K$5:$K$124)/SUM(Insumos!$N$5:$N$124),0)</f>
        <v>3.6936656582948855</v>
      </c>
      <c r="G19" s="45"/>
      <c r="H19" s="45"/>
      <c r="I19" s="46"/>
      <c r="J19" s="13"/>
    </row>
    <row r="20" spans="1:13" s="4" customFormat="1" ht="21.6" customHeight="1" x14ac:dyDescent="0.3">
      <c r="A20" s="13"/>
      <c r="B20" s="170" t="s">
        <v>54</v>
      </c>
      <c r="C20" s="171"/>
      <c r="D20" s="171"/>
      <c r="E20" s="171"/>
      <c r="F20" s="49">
        <f>IFERROR(SUM(Insumos!$K$5:$K$124)/SUM(Ventas!$J$5:$J$104),0)</f>
        <v>1.1824480259692185</v>
      </c>
      <c r="G20" s="41"/>
      <c r="H20" s="41"/>
      <c r="I20" s="42"/>
      <c r="J20" s="13"/>
    </row>
    <row r="21" spans="1:13" s="4" customFormat="1" ht="21.6" customHeight="1" x14ac:dyDescent="0.3">
      <c r="A21" s="13"/>
      <c r="B21" s="174" t="s">
        <v>55</v>
      </c>
      <c r="C21" s="171"/>
      <c r="D21" s="171"/>
      <c r="E21" s="171"/>
      <c r="F21" s="48">
        <f>IFERROR(SUM(Insumos!$M$5:$M$124)/SUM(Ventas!$J$5:$J$104)-Instrucciones!$C$17,0)</f>
        <v>1.1825766286525143</v>
      </c>
      <c r="G21" s="45"/>
      <c r="H21" s="45"/>
      <c r="I21" s="46"/>
      <c r="J21" s="13"/>
    </row>
    <row r="22" spans="1:13" s="4" customFormat="1" ht="21.6" customHeight="1" x14ac:dyDescent="0.3">
      <c r="A22" s="13"/>
      <c r="B22" s="170" t="s">
        <v>56</v>
      </c>
      <c r="C22" s="171"/>
      <c r="D22" s="171"/>
      <c r="E22" s="171"/>
      <c r="F22" s="50">
        <f>COUNTIFS(Insumos!$A$5:$A$124,"&lt;&gt;",Insumos!$L$5:$L$124,"&gt;0.1")</f>
        <v>29</v>
      </c>
      <c r="G22" s="41"/>
      <c r="H22" s="41"/>
      <c r="I22" s="42"/>
      <c r="J22" s="13"/>
    </row>
    <row r="23" spans="1:13" s="4" customFormat="1" ht="21.6" customHeight="1" x14ac:dyDescent="0.3">
      <c r="A23" s="13"/>
      <c r="B23" s="174" t="s">
        <v>57</v>
      </c>
      <c r="C23" s="171"/>
      <c r="D23" s="171"/>
      <c r="E23" s="171"/>
      <c r="F23" s="44">
        <f>IFERROR(MAX(0,SUM(Insumos!$K$5:$K$124)-SUM(Insumos!$N$5:$N$124)*0.03),0)</f>
        <v>12356558.373000002</v>
      </c>
      <c r="G23" s="45"/>
      <c r="H23" s="45"/>
      <c r="I23" s="46"/>
      <c r="J23" s="13"/>
    </row>
    <row r="24" spans="1:13" ht="31.95" customHeight="1" x14ac:dyDescent="0.3">
      <c r="A24" s="13"/>
      <c r="B24" s="154" t="s">
        <v>58</v>
      </c>
      <c r="C24" s="149"/>
      <c r="D24" s="149"/>
      <c r="E24" s="149"/>
      <c r="F24" s="149"/>
      <c r="G24" s="149"/>
      <c r="H24" s="149"/>
      <c r="I24" s="150"/>
      <c r="J24" s="13"/>
      <c r="K24" s="3"/>
      <c r="L24" s="3"/>
      <c r="M24" s="3"/>
    </row>
    <row r="25" spans="1:13" ht="3" customHeight="1" x14ac:dyDescent="0.3">
      <c r="A25" s="13"/>
      <c r="B25" s="17"/>
      <c r="C25" s="51"/>
      <c r="D25" s="51"/>
      <c r="E25" s="51"/>
      <c r="F25" s="51"/>
      <c r="G25" s="51"/>
      <c r="H25" s="51"/>
      <c r="I25" s="18"/>
      <c r="J25" s="13"/>
    </row>
    <row r="26" spans="1:13" x14ac:dyDescent="0.3">
      <c r="A26" s="13"/>
      <c r="B26" s="35"/>
      <c r="C26" s="36"/>
      <c r="D26" s="36"/>
      <c r="E26" s="36"/>
      <c r="F26" s="36"/>
      <c r="G26" s="36"/>
      <c r="H26" s="36"/>
      <c r="I26" s="37"/>
      <c r="J26" s="13"/>
    </row>
    <row r="27" spans="1:13" ht="21" customHeight="1" x14ac:dyDescent="0.3">
      <c r="A27" s="13"/>
      <c r="B27" s="151" t="s">
        <v>59</v>
      </c>
      <c r="C27" s="152"/>
      <c r="D27" s="152"/>
      <c r="E27" s="152"/>
      <c r="F27" s="152"/>
      <c r="G27" s="152"/>
      <c r="H27" s="152"/>
      <c r="I27" s="153"/>
      <c r="J27" s="13"/>
    </row>
    <row r="28" spans="1:13" ht="36" customHeight="1" x14ac:dyDescent="0.3">
      <c r="A28" s="13"/>
      <c r="B28" s="52" t="s">
        <v>60</v>
      </c>
      <c r="C28" s="52" t="s">
        <v>61</v>
      </c>
      <c r="D28" s="52" t="s">
        <v>62</v>
      </c>
      <c r="E28" s="52" t="s">
        <v>63</v>
      </c>
      <c r="F28" s="52" t="s">
        <v>64</v>
      </c>
      <c r="G28" s="155" t="s">
        <v>65</v>
      </c>
      <c r="H28" s="155"/>
      <c r="I28" s="155"/>
      <c r="J28" s="13"/>
    </row>
    <row r="29" spans="1:13" ht="46.2" customHeight="1" x14ac:dyDescent="0.3">
      <c r="A29" s="13"/>
      <c r="B29" s="53" t="s">
        <v>66</v>
      </c>
      <c r="C29" s="54">
        <f>COUNTIF(Menú!$M$5:$M$28,"ESTRELLA")</f>
        <v>5</v>
      </c>
      <c r="D29" s="54">
        <f>SUMIF(Menú!$M$5:$M$28,"ESTRELLA",Menú!$H$5:$H$28)</f>
        <v>202</v>
      </c>
      <c r="E29" s="55">
        <f>SUMIF(Menú!$M$5:$M$28,"ESTRELLA",Menú!$J$5:$J$28)</f>
        <v>3998641.5999999996</v>
      </c>
      <c r="F29" s="56">
        <f>IFERROR($E29/SUM(Menú!$J$5:$J$28),"")</f>
        <v>0.54194846322425405</v>
      </c>
      <c r="G29" s="156" t="s">
        <v>67</v>
      </c>
      <c r="H29" s="156"/>
      <c r="I29" s="157"/>
      <c r="J29" s="13"/>
    </row>
    <row r="30" spans="1:13" ht="46.2" customHeight="1" x14ac:dyDescent="0.3">
      <c r="A30" s="13"/>
      <c r="B30" s="57" t="s">
        <v>68</v>
      </c>
      <c r="C30" s="58">
        <f>COUNTIF(Menú!$M$5:$M$28,"CABALLO DE BATALLA")</f>
        <v>5</v>
      </c>
      <c r="D30" s="58">
        <f>SUMIF(Menú!$M$5:$M$28,"CABALLO DE BATALLA",Menú!$H$5:$H$28)</f>
        <v>198</v>
      </c>
      <c r="E30" s="59">
        <f>SUMIF(Menú!$M$5:$M$28,"CABALLO DE BATALLA",Menú!$J$5:$J$28)</f>
        <v>1216000.8</v>
      </c>
      <c r="F30" s="60">
        <f>IFERROR($E30/SUM(Menú!$J$5:$J$28),"")</f>
        <v>0.16480841014595146</v>
      </c>
      <c r="G30" s="158" t="s">
        <v>69</v>
      </c>
      <c r="H30" s="158"/>
      <c r="I30" s="159"/>
      <c r="J30" s="13"/>
    </row>
    <row r="31" spans="1:13" ht="46.2" customHeight="1" x14ac:dyDescent="0.3">
      <c r="A31" s="13"/>
      <c r="B31" s="53" t="s">
        <v>70</v>
      </c>
      <c r="C31" s="54">
        <f>COUNTIF(Menú!$M$5:$M$28,"ROMPECABEZAS")</f>
        <v>8</v>
      </c>
      <c r="D31" s="54">
        <f>SUMIF(Menú!$M$5:$M$28,"ROMPECABEZAS",Menú!$H$5:$H$28)</f>
        <v>64</v>
      </c>
      <c r="E31" s="55">
        <f>SUMIF(Menú!$M$5:$M$28,"ROMPECABEZAS",Menú!$J$5:$J$28)</f>
        <v>1656926.34</v>
      </c>
      <c r="F31" s="56">
        <f>IFERROR($E31/SUM(Menú!$J$5:$J$28),"")</f>
        <v>0.22456843435000229</v>
      </c>
      <c r="G31" s="156" t="s">
        <v>71</v>
      </c>
      <c r="H31" s="156"/>
      <c r="I31" s="157"/>
      <c r="J31" s="13"/>
    </row>
    <row r="32" spans="1:13" ht="46.2" customHeight="1" x14ac:dyDescent="0.3">
      <c r="A32" s="13"/>
      <c r="B32" s="57" t="s">
        <v>72</v>
      </c>
      <c r="C32" s="58">
        <f>COUNTIF(Menú!$M$5:$M$28,"PERRO")</f>
        <v>6</v>
      </c>
      <c r="D32" s="58">
        <f>SUMIF(Menú!$M$5:$M$28,"PERRO",Menú!$H$5:$H$28)</f>
        <v>49</v>
      </c>
      <c r="E32" s="59">
        <f>SUMIF(Menú!$M$5:$M$28,"PERRO",Menú!$J$5:$J$28)</f>
        <v>506700.36</v>
      </c>
      <c r="F32" s="60">
        <f>IFERROR($E32/SUM(Menú!$J$5:$J$28),"")</f>
        <v>6.8674692279792296E-2</v>
      </c>
      <c r="G32" s="158" t="s">
        <v>73</v>
      </c>
      <c r="H32" s="158"/>
      <c r="I32" s="159"/>
      <c r="J32" s="13"/>
    </row>
    <row r="33" spans="1:10" ht="45" customHeight="1" x14ac:dyDescent="0.3">
      <c r="A33" s="13"/>
      <c r="B33" s="154" t="s">
        <v>74</v>
      </c>
      <c r="C33" s="149"/>
      <c r="D33" s="149"/>
      <c r="E33" s="149"/>
      <c r="F33" s="149"/>
      <c r="G33" s="149"/>
      <c r="H33" s="149"/>
      <c r="I33" s="150"/>
      <c r="J33" s="13"/>
    </row>
    <row r="34" spans="1:10" ht="3" customHeight="1" x14ac:dyDescent="0.3">
      <c r="A34" s="13"/>
      <c r="B34" s="19"/>
      <c r="C34" s="20"/>
      <c r="D34" s="20"/>
      <c r="E34" s="20"/>
      <c r="F34" s="20"/>
      <c r="G34" s="20"/>
      <c r="H34" s="20"/>
      <c r="I34" s="21"/>
      <c r="J34" s="13"/>
    </row>
    <row r="35" spans="1:10" x14ac:dyDescent="0.3">
      <c r="A35" s="13"/>
      <c r="B35" s="35"/>
      <c r="C35" s="36"/>
      <c r="D35" s="36"/>
      <c r="E35" s="36"/>
      <c r="F35" s="36"/>
      <c r="G35" s="36"/>
      <c r="H35" s="36"/>
      <c r="I35" s="37"/>
      <c r="J35" s="13"/>
    </row>
    <row r="36" spans="1:10" ht="21" customHeight="1" x14ac:dyDescent="0.3">
      <c r="A36" s="13"/>
      <c r="B36" s="177" t="s">
        <v>75</v>
      </c>
      <c r="C36" s="149"/>
      <c r="D36" s="149"/>
      <c r="E36" s="149"/>
      <c r="F36" s="149"/>
      <c r="G36" s="149"/>
      <c r="H36" s="149"/>
      <c r="I36" s="150"/>
      <c r="J36" s="13"/>
    </row>
    <row r="37" spans="1:10" ht="45" customHeight="1" x14ac:dyDescent="0.3">
      <c r="A37" s="13"/>
      <c r="B37" s="52" t="s">
        <v>76</v>
      </c>
      <c r="C37" s="52" t="s">
        <v>62</v>
      </c>
      <c r="D37" s="52" t="s">
        <v>77</v>
      </c>
      <c r="E37" s="52" t="s">
        <v>78</v>
      </c>
      <c r="F37" s="52" t="s">
        <v>79</v>
      </c>
      <c r="G37" s="52" t="s">
        <v>80</v>
      </c>
      <c r="H37" s="52" t="s">
        <v>63</v>
      </c>
      <c r="I37" s="52" t="s">
        <v>81</v>
      </c>
      <c r="J37" s="13"/>
    </row>
    <row r="38" spans="1:10" s="5" customFormat="1" ht="23.4" customHeight="1" x14ac:dyDescent="0.3">
      <c r="A38" s="61"/>
      <c r="B38" s="53" t="s">
        <v>82</v>
      </c>
      <c r="C38" s="62">
        <f>SUMIF(Ventas!$C$5:$C$104,"Salón",Ventas!$G$5:$G$104)</f>
        <v>259</v>
      </c>
      <c r="D38" s="55">
        <f>SUMIF(Ventas!$C$5:$C$104,"Salón",Ventas!$J$5:$J$104)</f>
        <v>4595450</v>
      </c>
      <c r="E38" s="56">
        <f>IFERROR($D38/SUM(Ventas!$J$5:$J$104),"")</f>
        <v>0.43618510661522181</v>
      </c>
      <c r="F38" s="55">
        <f>SUMIF(Ventas!$C$5:$C$104,"Salón",Ventas!$L$5:$L$104)</f>
        <v>0</v>
      </c>
      <c r="G38" s="55">
        <f>SUMIF(Ventas!$C$5:$C$104,"Salón",Ventas!$M$5:$M$104)</f>
        <v>4595450</v>
      </c>
      <c r="H38" s="55">
        <f>SUMIF(Ventas!$C$5:$C$104,"Salón",Ventas!$O$5:$O$104)</f>
        <v>3159201.28</v>
      </c>
      <c r="I38" s="63">
        <f>IFERROR($H38/$D38,"")</f>
        <v>0.68746287741135248</v>
      </c>
      <c r="J38" s="61"/>
    </row>
    <row r="39" spans="1:10" s="5" customFormat="1" ht="23.4" customHeight="1" x14ac:dyDescent="0.3">
      <c r="A39" s="61"/>
      <c r="B39" s="57" t="s">
        <v>83</v>
      </c>
      <c r="C39" s="64">
        <f>SUMIF(Ventas!$C$5:$C$104,"Para llevar",Ventas!$G$5:$G$104)</f>
        <v>45</v>
      </c>
      <c r="D39" s="59">
        <f>SUMIF(Ventas!$C$5:$C$104,"Para llevar",Ventas!$J$5:$J$104)</f>
        <v>1031500</v>
      </c>
      <c r="E39" s="60">
        <f>IFERROR($D39/SUM(Ventas!$J$5:$J$104),"")</f>
        <v>9.7906611425127313E-2</v>
      </c>
      <c r="F39" s="59">
        <f>SUMIF(Ventas!$C$5:$C$104,"Para llevar",Ventas!$L$5:$L$104)</f>
        <v>0</v>
      </c>
      <c r="G39" s="59">
        <f>SUMIF(Ventas!$C$5:$C$104,"Para llevar",Ventas!$M$5:$M$104)</f>
        <v>1031500</v>
      </c>
      <c r="H39" s="59">
        <f>SUMIF(Ventas!$C$5:$C$104,"Para llevar",Ventas!$O$5:$O$104)</f>
        <v>685892.70000000007</v>
      </c>
      <c r="I39" s="65">
        <f>IFERROR($H39/$D39,"")</f>
        <v>0.66494687348521575</v>
      </c>
      <c r="J39" s="61"/>
    </row>
    <row r="40" spans="1:10" s="5" customFormat="1" ht="23.4" customHeight="1" x14ac:dyDescent="0.3">
      <c r="A40" s="61"/>
      <c r="B40" s="53" t="s">
        <v>84</v>
      </c>
      <c r="C40" s="62">
        <f>SUMIF(Ventas!$C$5:$C$104,"Domicilio propio",Ventas!$G$5:$G$104)</f>
        <v>49</v>
      </c>
      <c r="D40" s="55">
        <f>SUMIF(Ventas!$C$5:$C$104,"Domicilio propio",Ventas!$J$5:$J$104)</f>
        <v>780200</v>
      </c>
      <c r="E40" s="56">
        <f>IFERROR($D40/SUM(Ventas!$J$5:$J$104),"")</f>
        <v>7.4054036096834058E-2</v>
      </c>
      <c r="F40" s="55">
        <f>SUMIF(Ventas!$C$5:$C$104,"Domicilio propio",Ventas!$L$5:$L$104)</f>
        <v>46812</v>
      </c>
      <c r="G40" s="55">
        <f>SUMIF(Ventas!$C$5:$C$104,"Domicilio propio",Ventas!$M$5:$M$104)</f>
        <v>733388</v>
      </c>
      <c r="H40" s="55">
        <f>SUMIF(Ventas!$C$5:$C$104,"Domicilio propio",Ventas!$O$5:$O$104)</f>
        <v>493851</v>
      </c>
      <c r="I40" s="63">
        <f>IFERROR($H40/$D40,"")</f>
        <v>0.63298000512689057</v>
      </c>
      <c r="J40" s="61"/>
    </row>
    <row r="41" spans="1:10" s="5" customFormat="1" ht="23.4" customHeight="1" x14ac:dyDescent="0.3">
      <c r="A41" s="61"/>
      <c r="B41" s="57" t="s">
        <v>85</v>
      </c>
      <c r="C41" s="64">
        <f>SUMIF(Ventas!$C$5:$C$104,"App de domicilio",Ventas!$G$5:$G$104)</f>
        <v>160</v>
      </c>
      <c r="D41" s="59">
        <f>SUMIF(Ventas!$C$5:$C$104,"App de domicilio",Ventas!$J$5:$J$104)</f>
        <v>4128400</v>
      </c>
      <c r="E41" s="60">
        <f>IFERROR($D41/SUM(Ventas!$J$5:$J$104),"")</f>
        <v>0.39185424586281686</v>
      </c>
      <c r="F41" s="59">
        <f>SUMIF(Ventas!$C$5:$C$104,"App de domicilio",Ventas!$L$5:$L$104)</f>
        <v>908248</v>
      </c>
      <c r="G41" s="59">
        <f>SUMIF(Ventas!$C$5:$C$104,"App de domicilio",Ventas!$M$5:$M$104)</f>
        <v>3220152</v>
      </c>
      <c r="H41" s="59">
        <f>SUMIF(Ventas!$C$5:$C$104,"App de domicilio",Ventas!$O$5:$O$104)</f>
        <v>1868814.1199999999</v>
      </c>
      <c r="I41" s="65">
        <f>IFERROR($H41/$D41,"")</f>
        <v>0.4526727352000775</v>
      </c>
      <c r="J41" s="61"/>
    </row>
    <row r="42" spans="1:10" ht="31.95" customHeight="1" x14ac:dyDescent="0.3">
      <c r="A42" s="13"/>
      <c r="B42" s="154" t="s">
        <v>86</v>
      </c>
      <c r="C42" s="149"/>
      <c r="D42" s="149"/>
      <c r="E42" s="149"/>
      <c r="F42" s="149"/>
      <c r="G42" s="149"/>
      <c r="H42" s="149"/>
      <c r="I42" s="150"/>
      <c r="J42" s="13"/>
    </row>
    <row r="43" spans="1:10" ht="3" customHeight="1" x14ac:dyDescent="0.3">
      <c r="A43" s="13"/>
      <c r="B43" s="22"/>
      <c r="C43" s="66"/>
      <c r="D43" s="66"/>
      <c r="E43" s="66"/>
      <c r="F43" s="66"/>
      <c r="G43" s="66"/>
      <c r="H43" s="66"/>
      <c r="I43" s="23"/>
      <c r="J43" s="13"/>
    </row>
    <row r="44" spans="1:10" x14ac:dyDescent="0.3">
      <c r="A44" s="13"/>
      <c r="B44" s="35"/>
      <c r="C44" s="36"/>
      <c r="D44" s="36"/>
      <c r="E44" s="36"/>
      <c r="F44" s="36"/>
      <c r="G44" s="36"/>
      <c r="H44" s="36"/>
      <c r="I44" s="37"/>
      <c r="J44" s="13"/>
    </row>
    <row r="45" spans="1:10" ht="21" customHeight="1" x14ac:dyDescent="0.3">
      <c r="A45" s="13"/>
      <c r="B45" s="177" t="s">
        <v>87</v>
      </c>
      <c r="C45" s="149"/>
      <c r="D45" s="149"/>
      <c r="E45" s="149"/>
      <c r="F45" s="149"/>
      <c r="G45" s="149"/>
      <c r="H45" s="149"/>
      <c r="I45" s="150"/>
      <c r="J45" s="13"/>
    </row>
    <row r="46" spans="1:10" ht="15" customHeight="1" x14ac:dyDescent="0.3">
      <c r="A46" s="13"/>
      <c r="B46" s="148" t="s">
        <v>88</v>
      </c>
      <c r="C46" s="149"/>
      <c r="D46" s="149"/>
      <c r="E46" s="149"/>
      <c r="F46" s="149"/>
      <c r="G46" s="149"/>
      <c r="H46" s="149"/>
      <c r="I46" s="150"/>
      <c r="J46" s="13"/>
    </row>
    <row r="47" spans="1:10" ht="45.6" customHeight="1" x14ac:dyDescent="0.3">
      <c r="A47" s="13"/>
      <c r="B47" s="52" t="s">
        <v>89</v>
      </c>
      <c r="C47" s="52" t="s">
        <v>62</v>
      </c>
      <c r="D47" s="52" t="s">
        <v>77</v>
      </c>
      <c r="E47" s="52" t="s">
        <v>80</v>
      </c>
      <c r="F47" s="52" t="s">
        <v>63</v>
      </c>
      <c r="G47" s="52" t="s">
        <v>81</v>
      </c>
      <c r="H47" s="52" t="s">
        <v>304</v>
      </c>
      <c r="I47" s="52" t="s">
        <v>90</v>
      </c>
      <c r="J47" s="13"/>
    </row>
    <row r="48" spans="1:10" ht="16.05" customHeight="1" x14ac:dyDescent="0.3">
      <c r="A48" s="13"/>
      <c r="B48" s="67" t="s">
        <v>91</v>
      </c>
      <c r="C48" s="68">
        <f>IF($B48="","",SUMIF(Ventas!$B$5:$B$104,$B48,Ventas!$G$5:$G$104))</f>
        <v>272</v>
      </c>
      <c r="D48" s="69">
        <f>IF($B48="","",SUMIF(Ventas!$B$5:$B$104,$B48,Ventas!$J$5:$J$104))</f>
        <v>5650850</v>
      </c>
      <c r="E48" s="69">
        <f>IF($B48="","",SUMIF(Ventas!$B$5:$B$104,$B48,Ventas!$M$5:$M$104))</f>
        <v>5217358</v>
      </c>
      <c r="F48" s="69">
        <f>IF($B48="","",SUMIF(Ventas!$B$5:$B$104,$B48,Ventas!$O$5:$O$104))</f>
        <v>3393676.98</v>
      </c>
      <c r="G48" s="70">
        <f t="shared" ref="G48:G53" si="0">IFERROR($F48/$D48,"")</f>
        <v>0.60056044311917678</v>
      </c>
      <c r="H48" s="70">
        <f>IF($B48="","",IF($D48=0,"",SUMIF(Ventas!$B$5:$B$104,$B48,Ventas!$N$5:$N$104)/$D48))</f>
        <v>0.32272684994292899</v>
      </c>
      <c r="I48" s="71">
        <f>IF($B48="","",$F48-(IFERROR(INDEX(Sedes!$F$5:$F$24,MATCH($B48,Sedes!$A$5:$A$24,0)),0)+IFERROR(INDEX(Sedes!$G$5:$G$24,MATCH($B48,Sedes!$A$5:$A$24,0)),0))*Instrucciones!$C$16/30)</f>
        <v>-36606323.020000003</v>
      </c>
      <c r="J48" s="13"/>
    </row>
    <row r="49" spans="1:10" ht="16.05" customHeight="1" x14ac:dyDescent="0.3">
      <c r="A49" s="13"/>
      <c r="B49" s="67" t="s">
        <v>92</v>
      </c>
      <c r="C49" s="72">
        <f>IF($B49="","",SUMIF(Ventas!$B$5:$B$104,$B49,Ventas!$G$5:$G$104))</f>
        <v>161</v>
      </c>
      <c r="D49" s="73">
        <f>IF($B49="","",SUMIF(Ventas!$B$5:$B$104,$B49,Ventas!$J$5:$J$104))</f>
        <v>3124300</v>
      </c>
      <c r="E49" s="73">
        <f>IF($B49="","",SUMIF(Ventas!$B$5:$B$104,$B49,Ventas!$M$5:$M$104))</f>
        <v>2849132</v>
      </c>
      <c r="F49" s="73">
        <f>IF($B49="","",SUMIF(Ventas!$B$5:$B$104,$B49,Ventas!$O$5:$O$104))</f>
        <v>1867004.1400000004</v>
      </c>
      <c r="G49" s="74">
        <f t="shared" si="0"/>
        <v>0.59757518164068768</v>
      </c>
      <c r="H49" s="74">
        <f>IF($B49="","",IF($D49=0,"",SUMIF(Ventas!$B$5:$B$104,$B49,Ventas!$N$5:$N$104)/$D49))</f>
        <v>0.3143513298978971</v>
      </c>
      <c r="I49" s="75">
        <f>IF($B49="","",$F49-(IFERROR(INDEX(Sedes!$F$5:$F$24,MATCH($B49,Sedes!$A$5:$A$24,0)),0)+IFERROR(INDEX(Sedes!$G$5:$G$24,MATCH($B49,Sedes!$A$5:$A$24,0)),0))*Instrucciones!$C$16/30)</f>
        <v>-29632995.859999999</v>
      </c>
      <c r="J49" s="13"/>
    </row>
    <row r="50" spans="1:10" ht="16.05" customHeight="1" x14ac:dyDescent="0.3">
      <c r="A50" s="13"/>
      <c r="B50" s="67" t="s">
        <v>93</v>
      </c>
      <c r="C50" s="68">
        <f>IF($B50="","",SUMIF(Ventas!$B$5:$B$104,$B50,Ventas!$G$5:$G$104))</f>
        <v>80</v>
      </c>
      <c r="D50" s="69">
        <f>IF($B50="","",SUMIF(Ventas!$B$5:$B$104,$B50,Ventas!$J$5:$J$104))</f>
        <v>1760400</v>
      </c>
      <c r="E50" s="69">
        <f>IF($B50="","",SUMIF(Ventas!$B$5:$B$104,$B50,Ventas!$M$5:$M$104))</f>
        <v>1514000</v>
      </c>
      <c r="F50" s="69">
        <f>IF($B50="","",SUMIF(Ventas!$B$5:$B$104,$B50,Ventas!$O$5:$O$104))</f>
        <v>947077.9800000001</v>
      </c>
      <c r="G50" s="70">
        <f t="shared" si="0"/>
        <v>0.53799021813224268</v>
      </c>
      <c r="H50" s="70">
        <f>IF($B50="","",IF($D50=0,"",SUMIF(Ventas!$B$5:$B$104,$B50,Ventas!$N$5:$N$104)/$D50))</f>
        <v>0.32204159281981376</v>
      </c>
      <c r="I50" s="71">
        <f>IF($B50="","",$F50-(IFERROR(INDEX(Sedes!$F$5:$F$24,MATCH($B50,Sedes!$A$5:$A$24,0)),0)+IFERROR(INDEX(Sedes!$G$5:$G$24,MATCH($B50,Sedes!$A$5:$A$24,0)),0))*Instrucciones!$C$16/30)</f>
        <v>-15252922.02</v>
      </c>
      <c r="J50" s="13"/>
    </row>
    <row r="51" spans="1:10" ht="16.05" customHeight="1" x14ac:dyDescent="0.3">
      <c r="A51" s="13"/>
      <c r="B51" s="76"/>
      <c r="C51" s="77" t="str">
        <f>IF($B51="","",SUMIF(Ventas!$B$5:$B$104,$B51,Ventas!$G$5:$G$104))</f>
        <v/>
      </c>
      <c r="D51" s="44" t="str">
        <f>IF($B51="","",SUMIF(Ventas!$B$5:$B$104,$B51,Ventas!$J$5:$J$104))</f>
        <v/>
      </c>
      <c r="E51" s="44" t="str">
        <f>IF($B51="","",SUMIF(Ventas!$B$5:$B$104,$B51,Ventas!$M$5:$M$104))</f>
        <v/>
      </c>
      <c r="F51" s="44" t="str">
        <f>IF($B51="","",SUMIF(Ventas!$B$5:$B$104,$B51,Ventas!$O$5:$O$104))</f>
        <v/>
      </c>
      <c r="G51" s="48" t="str">
        <f t="shared" si="0"/>
        <v/>
      </c>
      <c r="H51" s="48" t="str">
        <f>IF($B51="","",IF($D51=0,"",SUMIF(Ventas!$B$5:$B$104,$B51,Ventas!$N$5:$N$104)/$D51))</f>
        <v/>
      </c>
      <c r="I51" s="78" t="str">
        <f>IF($B51="","",$F51-(IFERROR(INDEX(Sedes!$F$5:$F$24,MATCH($B51,Sedes!$A$5:$A$24,0)),0)+IFERROR(INDEX(Sedes!$G$5:$G$24,MATCH($B51,Sedes!$A$5:$A$24,0)),0))*Instrucciones!$C$16/30)</f>
        <v/>
      </c>
      <c r="J51" s="13"/>
    </row>
    <row r="52" spans="1:10" ht="16.05" customHeight="1" x14ac:dyDescent="0.3">
      <c r="A52" s="13"/>
      <c r="B52" s="47"/>
      <c r="C52" s="79" t="str">
        <f>IF($B52="","",SUMIF(Ventas!$B$5:$B$104,$B52,Ventas!$G$5:$G$104))</f>
        <v/>
      </c>
      <c r="D52" s="40" t="str">
        <f>IF($B52="","",SUMIF(Ventas!$B$5:$B$104,$B52,Ventas!$J$5:$J$104))</f>
        <v/>
      </c>
      <c r="E52" s="40" t="str">
        <f>IF($B52="","",SUMIF(Ventas!$B$5:$B$104,$B52,Ventas!$M$5:$M$104))</f>
        <v/>
      </c>
      <c r="F52" s="40" t="str">
        <f>IF($B52="","",SUMIF(Ventas!$B$5:$B$104,$B52,Ventas!$O$5:$O$104))</f>
        <v/>
      </c>
      <c r="G52" s="49" t="str">
        <f t="shared" si="0"/>
        <v/>
      </c>
      <c r="H52" s="49" t="str">
        <f>IF($B52="","",IF($D52=0,"",SUMIF(Ventas!$B$5:$B$104,$B52,Ventas!$N$5:$N$104)/$D52))</f>
        <v/>
      </c>
      <c r="I52" s="80" t="str">
        <f>IF($B52="","",$F52-(IFERROR(INDEX(Sedes!$F$5:$F$24,MATCH($B52,Sedes!$A$5:$A$24,0)),0)+IFERROR(INDEX(Sedes!$G$5:$G$24,MATCH($B52,Sedes!$A$5:$A$24,0)),0))*Instrucciones!$C$16/30)</f>
        <v/>
      </c>
      <c r="J52" s="13"/>
    </row>
    <row r="53" spans="1:10" ht="16.05" customHeight="1" x14ac:dyDescent="0.3">
      <c r="A53" s="13"/>
      <c r="B53" s="76"/>
      <c r="C53" s="77" t="str">
        <f>IF($B53="","",SUMIF(Ventas!$B$5:$B$104,$B53,Ventas!$G$5:$G$104))</f>
        <v/>
      </c>
      <c r="D53" s="44" t="str">
        <f>IF($B53="","",SUMIF(Ventas!$B$5:$B$104,$B53,Ventas!$J$5:$J$104))</f>
        <v/>
      </c>
      <c r="E53" s="44" t="str">
        <f>IF($B53="","",SUMIF(Ventas!$B$5:$B$104,$B53,Ventas!$M$5:$M$104))</f>
        <v/>
      </c>
      <c r="F53" s="44" t="str">
        <f>IF($B53="","",SUMIF(Ventas!$B$5:$B$104,$B53,Ventas!$O$5:$O$104))</f>
        <v/>
      </c>
      <c r="G53" s="48" t="str">
        <f t="shared" si="0"/>
        <v/>
      </c>
      <c r="H53" s="48" t="str">
        <f>IF($B53="","",IF($D53=0,"",SUMIF(Ventas!$B$5:$B$104,$B53,Ventas!$N$5:$N$104)/$D53))</f>
        <v/>
      </c>
      <c r="I53" s="78" t="str">
        <f>IF($B53="","",$F53-(IFERROR(INDEX(Sedes!$F$5:$F$24,MATCH($B53,Sedes!$A$5:$A$24,0)),0)+IFERROR(INDEX(Sedes!$G$5:$G$24,MATCH($B53,Sedes!$A$5:$A$24,0)),0))*Instrucciones!$C$16/30)</f>
        <v/>
      </c>
      <c r="J53" s="13"/>
    </row>
    <row r="54" spans="1:10" ht="31.95" customHeight="1" x14ac:dyDescent="0.3">
      <c r="A54" s="13"/>
      <c r="B54" s="154" t="s">
        <v>94</v>
      </c>
      <c r="C54" s="149"/>
      <c r="D54" s="149"/>
      <c r="E54" s="149"/>
      <c r="F54" s="149"/>
      <c r="G54" s="149"/>
      <c r="H54" s="149"/>
      <c r="I54" s="150"/>
      <c r="J54" s="13"/>
    </row>
    <row r="55" spans="1:10" ht="3" customHeight="1" x14ac:dyDescent="0.3">
      <c r="A55" s="13"/>
      <c r="B55" s="24"/>
      <c r="C55" s="81"/>
      <c r="D55" s="81"/>
      <c r="E55" s="81"/>
      <c r="F55" s="81"/>
      <c r="G55" s="81"/>
      <c r="H55" s="81"/>
      <c r="I55" s="25"/>
      <c r="J55" s="13"/>
    </row>
    <row r="56" spans="1:10" x14ac:dyDescent="0.3">
      <c r="A56" s="13"/>
      <c r="B56" s="35"/>
      <c r="C56" s="36"/>
      <c r="D56" s="36"/>
      <c r="E56" s="36"/>
      <c r="F56" s="36"/>
      <c r="G56" s="36"/>
      <c r="H56" s="36"/>
      <c r="I56" s="37"/>
      <c r="J56" s="13"/>
    </row>
    <row r="57" spans="1:10" ht="21" customHeight="1" x14ac:dyDescent="0.3">
      <c r="A57" s="13"/>
      <c r="B57" s="151" t="s">
        <v>95</v>
      </c>
      <c r="C57" s="149"/>
      <c r="D57" s="149"/>
      <c r="E57" s="149"/>
      <c r="F57" s="149"/>
      <c r="G57" s="149"/>
      <c r="H57" s="149"/>
      <c r="I57" s="150"/>
      <c r="J57" s="13"/>
    </row>
    <row r="58" spans="1:10" ht="28.95" customHeight="1" x14ac:dyDescent="0.3">
      <c r="A58" s="13"/>
      <c r="B58" s="52" t="s">
        <v>96</v>
      </c>
      <c r="C58" s="52" t="s">
        <v>62</v>
      </c>
      <c r="D58" s="52" t="s">
        <v>77</v>
      </c>
      <c r="E58" s="52" t="s">
        <v>78</v>
      </c>
      <c r="F58" s="52" t="s">
        <v>305</v>
      </c>
      <c r="G58" s="52" t="s">
        <v>81</v>
      </c>
      <c r="H58" s="82"/>
      <c r="I58" s="82"/>
      <c r="J58" s="13"/>
    </row>
    <row r="59" spans="1:10" ht="19.8" customHeight="1" x14ac:dyDescent="0.3">
      <c r="A59" s="13"/>
      <c r="B59" s="47" t="s">
        <v>97</v>
      </c>
      <c r="C59" s="79">
        <f>SUMIF(Ventas!$D$5:$D$104,"Desayuno",Ventas!$G$5:$G$104)</f>
        <v>70</v>
      </c>
      <c r="D59" s="69">
        <f>SUMIF(Ventas!$D$5:$D$104,"Desayuno",Ventas!$J$5:$J$104)</f>
        <v>1127300</v>
      </c>
      <c r="E59" s="70">
        <f>IFERROR($D59/SUM(Ventas!$J$5:$J$104),"")</f>
        <v>0.10699963457057296</v>
      </c>
      <c r="F59" s="69">
        <f>SUMIF(Ventas!$D$5:$D$104,"Desayuno",Ventas!$O$5:$O$104)</f>
        <v>690489.59999999986</v>
      </c>
      <c r="G59" s="70">
        <f>IFERROR($F59/$D59,"")</f>
        <v>0.61251627783198781</v>
      </c>
      <c r="H59" s="83"/>
      <c r="I59" s="84"/>
      <c r="J59" s="13"/>
    </row>
    <row r="60" spans="1:10" ht="19.8" customHeight="1" x14ac:dyDescent="0.3">
      <c r="A60" s="13"/>
      <c r="B60" s="76" t="s">
        <v>98</v>
      </c>
      <c r="C60" s="77">
        <f>SUMIF(Ventas!$D$5:$D$104,"Almuerzo",Ventas!$G$5:$G$104)</f>
        <v>257</v>
      </c>
      <c r="D60" s="73">
        <f>SUMIF(Ventas!$D$5:$D$104,"Almuerzo",Ventas!$J$5:$J$104)</f>
        <v>5738100</v>
      </c>
      <c r="E60" s="74">
        <f>IFERROR($D60/SUM(Ventas!$J$5:$J$104),"")</f>
        <v>0.54464171305722053</v>
      </c>
      <c r="F60" s="73">
        <f>SUMIF(Ventas!$D$5:$D$104,"Almuerzo",Ventas!$O$5:$O$104)</f>
        <v>3459539.1799999997</v>
      </c>
      <c r="G60" s="74">
        <f>IFERROR($F60/$D60,"")</f>
        <v>0.6029067426500061</v>
      </c>
      <c r="H60" s="85"/>
      <c r="I60" s="86"/>
      <c r="J60" s="13"/>
    </row>
    <row r="61" spans="1:10" ht="19.8" customHeight="1" x14ac:dyDescent="0.3">
      <c r="A61" s="13"/>
      <c r="B61" s="47" t="s">
        <v>99</v>
      </c>
      <c r="C61" s="79">
        <f>SUMIF(Ventas!$D$5:$D$104,"Tarde",Ventas!$G$5:$G$104)</f>
        <v>34</v>
      </c>
      <c r="D61" s="69">
        <f>SUMIF(Ventas!$D$5:$D$104,"Tarde",Ventas!$J$5:$J$104)</f>
        <v>982000</v>
      </c>
      <c r="E61" s="70">
        <f>IFERROR($D61/SUM(Ventas!$J$5:$J$104),"")</f>
        <v>9.3208233077532732E-2</v>
      </c>
      <c r="F61" s="69">
        <f>SUMIF(Ventas!$D$5:$D$104,"Tarde",Ventas!$O$5:$O$104)</f>
        <v>477236.16000000003</v>
      </c>
      <c r="G61" s="70">
        <f>IFERROR($F61/$D61,"")</f>
        <v>0.48598386965376783</v>
      </c>
      <c r="H61" s="83"/>
      <c r="I61" s="84"/>
      <c r="J61" s="13"/>
    </row>
    <row r="62" spans="1:10" ht="19.8" customHeight="1" x14ac:dyDescent="0.3">
      <c r="A62" s="13"/>
      <c r="B62" s="76" t="s">
        <v>100</v>
      </c>
      <c r="C62" s="77">
        <f>SUMIF(Ventas!$D$5:$D$104,"Cena",Ventas!$G$5:$G$104)</f>
        <v>152</v>
      </c>
      <c r="D62" s="73">
        <f>SUMIF(Ventas!$D$5:$D$104,"Cena",Ventas!$J$5:$J$104)</f>
        <v>2688150</v>
      </c>
      <c r="E62" s="74">
        <f>IFERROR($D62/SUM(Ventas!$J$5:$J$104),"")</f>
        <v>0.25515041929467375</v>
      </c>
      <c r="F62" s="73">
        <f>SUMIF(Ventas!$D$5:$D$104,"Cena",Ventas!$O$5:$O$104)</f>
        <v>1580494.16</v>
      </c>
      <c r="G62" s="74">
        <f>IFERROR($F62/$D62,"")</f>
        <v>0.58794864869891927</v>
      </c>
      <c r="H62" s="85"/>
      <c r="I62" s="86"/>
      <c r="J62" s="13"/>
    </row>
    <row r="63" spans="1:10" ht="19.8" customHeight="1" x14ac:dyDescent="0.3">
      <c r="A63" s="13"/>
      <c r="B63" s="47" t="s">
        <v>101</v>
      </c>
      <c r="C63" s="79">
        <f>SUMIF(Ventas!$D$5:$D$104,"Trasnocho",Ventas!$G$5:$G$104)</f>
        <v>0</v>
      </c>
      <c r="D63" s="69">
        <f>SUMIF(Ventas!$D$5:$D$104,"Trasnocho",Ventas!$J$5:$J$104)</f>
        <v>0</v>
      </c>
      <c r="E63" s="70">
        <f>IFERROR($D63/SUM(Ventas!$J$5:$J$104),"")</f>
        <v>0</v>
      </c>
      <c r="F63" s="69">
        <f>SUMIF(Ventas!$D$5:$D$104,"Trasnocho",Ventas!$O$5:$O$104)</f>
        <v>0</v>
      </c>
      <c r="G63" s="70" t="str">
        <f>IFERROR($F63/$D63,"")</f>
        <v/>
      </c>
      <c r="H63" s="83"/>
      <c r="I63" s="84"/>
      <c r="J63" s="13"/>
    </row>
    <row r="64" spans="1:10" ht="31.95" customHeight="1" x14ac:dyDescent="0.3">
      <c r="A64" s="13"/>
      <c r="B64" s="154" t="s">
        <v>102</v>
      </c>
      <c r="C64" s="149"/>
      <c r="D64" s="149"/>
      <c r="E64" s="149"/>
      <c r="F64" s="149"/>
      <c r="G64" s="149"/>
      <c r="H64" s="149"/>
      <c r="I64" s="150"/>
      <c r="J64" s="13"/>
    </row>
    <row r="65" spans="1:10" ht="3" customHeight="1" x14ac:dyDescent="0.3">
      <c r="A65" s="13"/>
      <c r="B65" s="26"/>
      <c r="C65" s="27"/>
      <c r="D65" s="27"/>
      <c r="E65" s="27"/>
      <c r="F65" s="27"/>
      <c r="G65" s="27"/>
      <c r="H65" s="27"/>
      <c r="I65" s="28"/>
      <c r="J65" s="13"/>
    </row>
    <row r="66" spans="1:10" x14ac:dyDescent="0.3">
      <c r="A66" s="13"/>
      <c r="B66" s="35"/>
      <c r="C66" s="36"/>
      <c r="D66" s="36"/>
      <c r="E66" s="36"/>
      <c r="F66" s="36"/>
      <c r="G66" s="36"/>
      <c r="H66" s="36"/>
      <c r="I66" s="37"/>
      <c r="J66" s="13"/>
    </row>
    <row r="67" spans="1:10" ht="21" customHeight="1" x14ac:dyDescent="0.3">
      <c r="A67" s="13"/>
      <c r="B67" s="151" t="s">
        <v>103</v>
      </c>
      <c r="C67" s="149"/>
      <c r="D67" s="149"/>
      <c r="E67" s="149"/>
      <c r="F67" s="149"/>
      <c r="G67" s="149"/>
      <c r="H67" s="149"/>
      <c r="I67" s="150"/>
      <c r="J67" s="13"/>
    </row>
    <row r="68" spans="1:10" ht="16.05" customHeight="1" x14ac:dyDescent="0.3">
      <c r="A68" s="13"/>
      <c r="B68" s="178" t="s">
        <v>104</v>
      </c>
      <c r="C68" s="149"/>
      <c r="D68" s="149"/>
      <c r="E68" s="149"/>
      <c r="F68" s="149"/>
      <c r="G68" s="149"/>
      <c r="H68" s="149"/>
      <c r="I68" s="150"/>
      <c r="J68" s="13"/>
    </row>
    <row r="69" spans="1:10" ht="16.05" customHeight="1" x14ac:dyDescent="0.3">
      <c r="A69" s="13"/>
      <c r="B69" s="178" t="s">
        <v>105</v>
      </c>
      <c r="C69" s="149"/>
      <c r="D69" s="149"/>
      <c r="E69" s="149"/>
      <c r="F69" s="149"/>
      <c r="G69" s="149"/>
      <c r="H69" s="149"/>
      <c r="I69" s="150"/>
      <c r="J69" s="13"/>
    </row>
    <row r="70" spans="1:10" ht="16.05" customHeight="1" x14ac:dyDescent="0.3">
      <c r="A70" s="13"/>
      <c r="B70" s="178" t="s">
        <v>106</v>
      </c>
      <c r="C70" s="149"/>
      <c r="D70" s="149"/>
      <c r="E70" s="149"/>
      <c r="F70" s="149"/>
      <c r="G70" s="149"/>
      <c r="H70" s="149"/>
      <c r="I70" s="150"/>
      <c r="J70" s="13"/>
    </row>
    <row r="71" spans="1:10" ht="16.05" customHeight="1" x14ac:dyDescent="0.3">
      <c r="A71" s="13"/>
      <c r="B71" s="178" t="s">
        <v>107</v>
      </c>
      <c r="C71" s="149"/>
      <c r="D71" s="149"/>
      <c r="E71" s="149"/>
      <c r="F71" s="149"/>
      <c r="G71" s="149"/>
      <c r="H71" s="149"/>
      <c r="I71" s="150"/>
      <c r="J71" s="13"/>
    </row>
    <row r="72" spans="1:10" ht="16.05" customHeight="1" x14ac:dyDescent="0.3">
      <c r="A72" s="13"/>
      <c r="B72" s="178" t="s">
        <v>108</v>
      </c>
      <c r="C72" s="149"/>
      <c r="D72" s="149"/>
      <c r="E72" s="149"/>
      <c r="F72" s="149"/>
      <c r="G72" s="149"/>
      <c r="H72" s="149"/>
      <c r="I72" s="150"/>
      <c r="J72" s="13"/>
    </row>
    <row r="73" spans="1:10" ht="16.05" customHeight="1" x14ac:dyDescent="0.3">
      <c r="A73" s="13"/>
      <c r="B73" s="178" t="s">
        <v>109</v>
      </c>
      <c r="C73" s="149"/>
      <c r="D73" s="149"/>
      <c r="E73" s="149"/>
      <c r="F73" s="149"/>
      <c r="G73" s="149"/>
      <c r="H73" s="149"/>
      <c r="I73" s="150"/>
      <c r="J73" s="13"/>
    </row>
    <row r="74" spans="1:10" ht="7.05" customHeight="1" x14ac:dyDescent="0.3">
      <c r="A74" s="13"/>
      <c r="B74" s="87"/>
      <c r="C74" s="88"/>
      <c r="D74" s="88"/>
      <c r="E74" s="88"/>
      <c r="F74" s="88"/>
      <c r="G74" s="88"/>
      <c r="H74" s="88"/>
      <c r="I74" s="89"/>
      <c r="J74" s="13"/>
    </row>
    <row r="75" spans="1:10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3">
      <c r="A76" s="13"/>
      <c r="B76" s="176" t="s">
        <v>110</v>
      </c>
      <c r="C76" s="176"/>
      <c r="D76" s="176"/>
      <c r="E76" s="176"/>
      <c r="F76" s="176"/>
      <c r="G76" s="176"/>
      <c r="H76" s="176"/>
      <c r="I76" s="176"/>
      <c r="J76" s="13"/>
    </row>
    <row r="77" spans="1:10" x14ac:dyDescent="0.3">
      <c r="A77" s="13"/>
      <c r="B77" s="13"/>
      <c r="C77" s="13"/>
      <c r="D77" s="13"/>
      <c r="E77" s="13"/>
      <c r="F77" s="13"/>
      <c r="G77" s="13"/>
      <c r="H77" s="13"/>
      <c r="I77" s="13"/>
      <c r="J77" s="13"/>
    </row>
  </sheetData>
  <sheetProtection sheet="1" objects="1" scenarios="1" formatCells="0" formatColumns="0" formatRows="0" insertRows="0" deleteRows="0" sort="0" autoFilter="0" pivotTables="0"/>
  <mergeCells count="53">
    <mergeCell ref="B76:I76"/>
    <mergeCell ref="D5:E5"/>
    <mergeCell ref="B36:I36"/>
    <mergeCell ref="B71:I71"/>
    <mergeCell ref="B67:I67"/>
    <mergeCell ref="B19:E19"/>
    <mergeCell ref="B54:I54"/>
    <mergeCell ref="B70:I70"/>
    <mergeCell ref="B11:C11"/>
    <mergeCell ref="B68:I68"/>
    <mergeCell ref="D11:E11"/>
    <mergeCell ref="B73:I73"/>
    <mergeCell ref="B69:I69"/>
    <mergeCell ref="B45:I45"/>
    <mergeCell ref="B72:I72"/>
    <mergeCell ref="B57:I57"/>
    <mergeCell ref="B1:I1"/>
    <mergeCell ref="B8:C8"/>
    <mergeCell ref="F10:I10"/>
    <mergeCell ref="B22:E22"/>
    <mergeCell ref="B64:I64"/>
    <mergeCell ref="B18:E18"/>
    <mergeCell ref="D7:E7"/>
    <mergeCell ref="F7:I7"/>
    <mergeCell ref="B21:E21"/>
    <mergeCell ref="B10:C10"/>
    <mergeCell ref="D4:E4"/>
    <mergeCell ref="F5:I5"/>
    <mergeCell ref="D8:E8"/>
    <mergeCell ref="B17:E17"/>
    <mergeCell ref="B23:E23"/>
    <mergeCell ref="B4:C4"/>
    <mergeCell ref="B2:I2"/>
    <mergeCell ref="F4:I4"/>
    <mergeCell ref="F11:I11"/>
    <mergeCell ref="B16:E16"/>
    <mergeCell ref="B42:I42"/>
    <mergeCell ref="B14:I14"/>
    <mergeCell ref="B33:I33"/>
    <mergeCell ref="F8:I8"/>
    <mergeCell ref="B5:C5"/>
    <mergeCell ref="D10:E10"/>
    <mergeCell ref="B7:C7"/>
    <mergeCell ref="B15:E15"/>
    <mergeCell ref="B20:E20"/>
    <mergeCell ref="B46:I46"/>
    <mergeCell ref="B27:I27"/>
    <mergeCell ref="B24:I24"/>
    <mergeCell ref="G28:I28"/>
    <mergeCell ref="G29:I29"/>
    <mergeCell ref="G30:I30"/>
    <mergeCell ref="G31:I31"/>
    <mergeCell ref="G32:I32"/>
  </mergeCells>
  <conditionalFormatting sqref="C29:C32">
    <cfRule type="dataBar" priority="1">
      <dataBar>
        <cfvo type="num" val="0"/>
        <cfvo type="max"/>
        <color rgb="FF4C8DFF"/>
      </dataBar>
    </cfRule>
  </conditionalFormatting>
  <conditionalFormatting sqref="C59:C63">
    <cfRule type="dataBar" priority="4">
      <dataBar>
        <cfvo type="num" val="0"/>
        <cfvo type="max"/>
        <color rgb="FF38BDF8"/>
      </dataBar>
    </cfRule>
  </conditionalFormatting>
  <conditionalFormatting sqref="D38:D41">
    <cfRule type="dataBar" priority="2">
      <dataBar>
        <cfvo type="num" val="0"/>
        <cfvo type="max"/>
        <color rgb="FFFFB020"/>
      </dataBar>
    </cfRule>
  </conditionalFormatting>
  <conditionalFormatting sqref="D48:D53">
    <cfRule type="dataBar" priority="5">
      <dataBar>
        <cfvo type="num" val="0"/>
        <cfvo type="max"/>
        <color rgb="FFA98BFA"/>
      </dataBar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showGridLines="0" tabSelected="1" zoomScaleNormal="100" workbookViewId="0">
      <selection activeCell="C14" sqref="C14"/>
    </sheetView>
  </sheetViews>
  <sheetFormatPr baseColWidth="10" defaultColWidth="8.6640625" defaultRowHeight="14.4" x14ac:dyDescent="0.3"/>
  <cols>
    <col min="1" max="1" width="3" style="1" customWidth="1"/>
    <col min="2" max="2" width="44.33203125" style="1" customWidth="1"/>
    <col min="3" max="3" width="32.88671875" style="1" customWidth="1"/>
    <col min="4" max="8" width="14" style="1" customWidth="1"/>
    <col min="9" max="11" width="8.6640625" style="1" customWidth="1"/>
    <col min="12" max="16384" width="8.6640625" style="1"/>
  </cols>
  <sheetData>
    <row r="1" spans="1:8" ht="30" customHeight="1" x14ac:dyDescent="0.3">
      <c r="A1" s="90" t="s">
        <v>111</v>
      </c>
      <c r="B1" s="91"/>
      <c r="C1" s="91"/>
      <c r="D1" s="91"/>
      <c r="E1" s="91"/>
      <c r="F1" s="91"/>
      <c r="G1" s="91"/>
      <c r="H1" s="91"/>
    </row>
    <row r="2" spans="1:8" ht="18" customHeight="1" x14ac:dyDescent="0.3">
      <c r="A2" s="92" t="s">
        <v>112</v>
      </c>
      <c r="B2" s="93"/>
      <c r="C2" s="93"/>
      <c r="D2" s="93"/>
      <c r="E2" s="93"/>
      <c r="F2" s="93"/>
      <c r="G2" s="93"/>
      <c r="H2" s="93"/>
    </row>
    <row r="3" spans="1:8" ht="15" customHeight="1" thickBot="1" x14ac:dyDescent="0.35">
      <c r="A3" s="14"/>
      <c r="B3" s="14"/>
      <c r="C3" s="14"/>
      <c r="D3" s="14"/>
      <c r="E3" s="14"/>
      <c r="F3" s="14"/>
      <c r="G3" s="14"/>
      <c r="H3" s="14"/>
    </row>
    <row r="4" spans="1:8" ht="57.6" customHeight="1" thickBot="1" x14ac:dyDescent="0.35">
      <c r="A4" s="142" t="s">
        <v>113</v>
      </c>
      <c r="B4" s="143"/>
      <c r="C4" s="143"/>
      <c r="D4" s="143"/>
      <c r="E4" s="143"/>
      <c r="F4" s="143"/>
      <c r="G4" s="143"/>
      <c r="H4" s="144"/>
    </row>
    <row r="5" spans="1:8" x14ac:dyDescent="0.3">
      <c r="A5" s="14"/>
      <c r="B5" s="14"/>
      <c r="C5" s="14"/>
      <c r="D5" s="14"/>
      <c r="E5" s="14"/>
      <c r="F5" s="14"/>
      <c r="G5" s="14"/>
      <c r="H5" s="14"/>
    </row>
    <row r="6" spans="1:8" x14ac:dyDescent="0.3">
      <c r="A6" s="14"/>
      <c r="B6" s="14"/>
      <c r="C6" s="14"/>
      <c r="D6" s="14"/>
      <c r="E6" s="14"/>
      <c r="F6" s="14"/>
      <c r="G6" s="14"/>
      <c r="H6" s="14"/>
    </row>
    <row r="7" spans="1:8" ht="18" customHeight="1" x14ac:dyDescent="0.35">
      <c r="A7" s="14"/>
      <c r="B7" s="94" t="s">
        <v>306</v>
      </c>
      <c r="C7" s="95"/>
      <c r="D7" s="14"/>
      <c r="E7" s="14"/>
      <c r="F7" s="14"/>
      <c r="G7" s="14"/>
      <c r="H7" s="14"/>
    </row>
    <row r="8" spans="1:8" x14ac:dyDescent="0.3">
      <c r="A8" s="14"/>
      <c r="B8" s="96" t="s">
        <v>114</v>
      </c>
      <c r="C8" s="145" t="s">
        <v>115</v>
      </c>
      <c r="D8" s="146"/>
      <c r="E8" s="146"/>
      <c r="F8" s="146"/>
      <c r="G8" s="146"/>
      <c r="H8" s="146"/>
    </row>
    <row r="9" spans="1:8" ht="35.4" customHeight="1" x14ac:dyDescent="0.3">
      <c r="A9" s="14"/>
      <c r="B9" s="96" t="s">
        <v>116</v>
      </c>
      <c r="C9" s="145" t="s">
        <v>117</v>
      </c>
      <c r="D9" s="146"/>
      <c r="E9" s="146"/>
      <c r="F9" s="146"/>
      <c r="G9" s="146"/>
      <c r="H9" s="146"/>
    </row>
    <row r="10" spans="1:8" x14ac:dyDescent="0.3">
      <c r="A10" s="14"/>
      <c r="B10" s="96" t="s">
        <v>118</v>
      </c>
      <c r="C10" s="145" t="s">
        <v>119</v>
      </c>
      <c r="D10" s="146"/>
      <c r="E10" s="146"/>
      <c r="F10" s="146"/>
      <c r="G10" s="146"/>
      <c r="H10" s="146"/>
    </row>
    <row r="11" spans="1:8" x14ac:dyDescent="0.3">
      <c r="A11" s="14"/>
      <c r="B11" s="96" t="s">
        <v>120</v>
      </c>
      <c r="C11" s="145" t="s">
        <v>121</v>
      </c>
      <c r="D11" s="146"/>
      <c r="E11" s="146"/>
      <c r="F11" s="146"/>
      <c r="G11" s="146"/>
      <c r="H11" s="146"/>
    </row>
    <row r="12" spans="1:8" ht="25.2" customHeight="1" x14ac:dyDescent="0.3">
      <c r="A12" s="14"/>
      <c r="B12" s="96" t="s">
        <v>122</v>
      </c>
      <c r="C12" s="145" t="s">
        <v>123</v>
      </c>
      <c r="D12" s="146"/>
      <c r="E12" s="146"/>
      <c r="F12" s="146"/>
      <c r="G12" s="146"/>
      <c r="H12" s="146"/>
    </row>
    <row r="13" spans="1:8" s="6" customFormat="1" x14ac:dyDescent="0.3">
      <c r="A13" s="97"/>
      <c r="B13" s="97"/>
      <c r="C13" s="97"/>
      <c r="D13" s="97"/>
      <c r="E13" s="97"/>
      <c r="F13" s="97"/>
      <c r="G13" s="97"/>
      <c r="H13" s="97"/>
    </row>
    <row r="14" spans="1:8" s="6" customFormat="1" x14ac:dyDescent="0.3">
      <c r="A14" s="97"/>
      <c r="B14" s="97"/>
      <c r="C14" s="97"/>
      <c r="D14" s="97"/>
      <c r="E14" s="97"/>
      <c r="F14" s="97"/>
      <c r="G14" s="97"/>
      <c r="H14" s="97"/>
    </row>
    <row r="15" spans="1:8" s="6" customFormat="1" x14ac:dyDescent="0.3">
      <c r="A15" s="97"/>
      <c r="B15" s="94" t="s">
        <v>307</v>
      </c>
      <c r="C15" s="97"/>
      <c r="D15" s="97"/>
      <c r="E15" s="97"/>
      <c r="F15" s="97"/>
      <c r="G15" s="97"/>
      <c r="H15" s="97"/>
    </row>
    <row r="16" spans="1:8" s="6" customFormat="1" ht="15.6" x14ac:dyDescent="0.3">
      <c r="A16" s="97"/>
      <c r="B16" s="98" t="s">
        <v>124</v>
      </c>
      <c r="C16" s="99">
        <v>30</v>
      </c>
      <c r="D16" s="97"/>
      <c r="E16" s="97"/>
      <c r="F16" s="97"/>
      <c r="G16" s="97"/>
      <c r="H16" s="97"/>
    </row>
    <row r="17" spans="1:8" s="6" customFormat="1" ht="15.6" x14ac:dyDescent="0.3">
      <c r="A17" s="97"/>
      <c r="B17" s="98" t="s">
        <v>125</v>
      </c>
      <c r="C17" s="100">
        <v>0.32</v>
      </c>
      <c r="D17" s="97"/>
      <c r="E17" s="97"/>
      <c r="F17" s="97"/>
      <c r="G17" s="97"/>
      <c r="H17" s="97"/>
    </row>
    <row r="18" spans="1:8" s="6" customFormat="1" ht="15.6" x14ac:dyDescent="0.3">
      <c r="A18" s="97"/>
      <c r="B18" s="98" t="s">
        <v>126</v>
      </c>
      <c r="C18" s="100">
        <v>0</v>
      </c>
      <c r="D18" s="97"/>
      <c r="E18" s="97"/>
      <c r="F18" s="97"/>
      <c r="G18" s="97"/>
      <c r="H18" s="97"/>
    </row>
    <row r="19" spans="1:8" s="6" customFormat="1" ht="15.6" x14ac:dyDescent="0.3">
      <c r="A19" s="97"/>
      <c r="B19" s="98" t="s">
        <v>127</v>
      </c>
      <c r="C19" s="100">
        <v>0</v>
      </c>
      <c r="D19" s="97"/>
      <c r="E19" s="97"/>
      <c r="F19" s="97"/>
      <c r="G19" s="97"/>
      <c r="H19" s="97"/>
    </row>
    <row r="20" spans="1:8" s="6" customFormat="1" ht="15.6" x14ac:dyDescent="0.3">
      <c r="A20" s="97"/>
      <c r="B20" s="98" t="s">
        <v>128</v>
      </c>
      <c r="C20" s="100">
        <v>0.06</v>
      </c>
      <c r="D20" s="97"/>
      <c r="E20" s="97"/>
      <c r="F20" s="97"/>
      <c r="G20" s="97"/>
      <c r="H20" s="97"/>
    </row>
    <row r="21" spans="1:8" s="6" customFormat="1" ht="15.6" x14ac:dyDescent="0.3">
      <c r="A21" s="97"/>
      <c r="B21" s="98" t="s">
        <v>129</v>
      </c>
      <c r="C21" s="100">
        <v>0.22</v>
      </c>
      <c r="D21" s="97"/>
      <c r="E21" s="97"/>
      <c r="F21" s="97"/>
      <c r="G21" s="97"/>
      <c r="H21" s="97"/>
    </row>
    <row r="22" spans="1:8" s="6" customFormat="1" x14ac:dyDescent="0.3">
      <c r="A22" s="97"/>
      <c r="B22" s="147" t="s">
        <v>130</v>
      </c>
      <c r="C22" s="147"/>
      <c r="D22" s="147"/>
      <c r="E22" s="147"/>
      <c r="F22" s="147"/>
      <c r="G22" s="147"/>
      <c r="H22" s="147"/>
    </row>
    <row r="23" spans="1:8" s="6" customFormat="1" x14ac:dyDescent="0.3">
      <c r="A23" s="97"/>
      <c r="B23" s="147"/>
      <c r="C23" s="147"/>
      <c r="D23" s="147"/>
      <c r="E23" s="147"/>
      <c r="F23" s="147"/>
      <c r="G23" s="147"/>
      <c r="H23" s="147"/>
    </row>
    <row r="24" spans="1:8" s="6" customFormat="1" x14ac:dyDescent="0.3">
      <c r="A24" s="97"/>
      <c r="B24" s="97"/>
      <c r="C24" s="97"/>
      <c r="D24" s="97"/>
      <c r="E24" s="97"/>
      <c r="F24" s="97"/>
      <c r="G24" s="97"/>
      <c r="H24" s="97"/>
    </row>
    <row r="25" spans="1:8" s="6" customFormat="1" x14ac:dyDescent="0.3">
      <c r="A25" s="97"/>
      <c r="B25" s="97"/>
      <c r="C25" s="97"/>
      <c r="D25" s="97"/>
      <c r="E25" s="97"/>
      <c r="F25" s="97"/>
      <c r="G25" s="97"/>
      <c r="H25" s="97"/>
    </row>
    <row r="26" spans="1:8" ht="18" customHeight="1" x14ac:dyDescent="0.3">
      <c r="A26" s="14"/>
      <c r="B26" s="94" t="s">
        <v>308</v>
      </c>
      <c r="C26" s="101"/>
      <c r="D26" s="14"/>
      <c r="E26" s="14"/>
      <c r="F26" s="14"/>
      <c r="G26" s="14"/>
      <c r="H26" s="14"/>
    </row>
    <row r="27" spans="1:8" ht="15.6" customHeight="1" x14ac:dyDescent="0.3">
      <c r="A27" s="14"/>
      <c r="B27" s="102" t="s">
        <v>309</v>
      </c>
      <c r="C27" s="103" t="s">
        <v>310</v>
      </c>
      <c r="D27" s="14"/>
      <c r="E27" s="14"/>
      <c r="F27" s="14"/>
      <c r="G27" s="14"/>
      <c r="H27" s="14"/>
    </row>
    <row r="28" spans="1:8" ht="15.6" customHeight="1" x14ac:dyDescent="0.3">
      <c r="A28" s="14"/>
      <c r="B28" s="104" t="s">
        <v>311</v>
      </c>
      <c r="C28" s="103" t="s">
        <v>312</v>
      </c>
      <c r="D28" s="14"/>
      <c r="E28" s="14"/>
      <c r="F28" s="14"/>
      <c r="G28" s="14"/>
      <c r="H28" s="14"/>
    </row>
    <row r="29" spans="1:8" ht="15.6" customHeight="1" x14ac:dyDescent="0.3">
      <c r="A29" s="14"/>
      <c r="B29" s="105" t="s">
        <v>313</v>
      </c>
      <c r="C29" s="103" t="s">
        <v>314</v>
      </c>
      <c r="D29" s="14"/>
      <c r="E29" s="14"/>
      <c r="F29" s="14"/>
      <c r="G29" s="14"/>
      <c r="H29" s="14"/>
    </row>
    <row r="30" spans="1:8" x14ac:dyDescent="0.3">
      <c r="A30" s="14"/>
      <c r="B30" s="14"/>
      <c r="C30" s="14"/>
      <c r="D30" s="14"/>
      <c r="E30" s="14"/>
      <c r="F30" s="14"/>
      <c r="G30" s="14"/>
      <c r="H30" s="14"/>
    </row>
    <row r="31" spans="1:8" ht="14.4" customHeight="1" x14ac:dyDescent="0.3">
      <c r="A31" s="14"/>
      <c r="B31" s="141" t="s">
        <v>315</v>
      </c>
      <c r="C31" s="141"/>
      <c r="D31" s="141"/>
      <c r="E31" s="141"/>
      <c r="F31" s="141"/>
      <c r="G31" s="141"/>
      <c r="H31" s="141"/>
    </row>
    <row r="32" spans="1:8" x14ac:dyDescent="0.3">
      <c r="A32" s="14"/>
      <c r="B32" s="141"/>
      <c r="C32" s="141"/>
      <c r="D32" s="141"/>
      <c r="E32" s="141"/>
      <c r="F32" s="141"/>
      <c r="G32" s="141"/>
      <c r="H32" s="141"/>
    </row>
    <row r="33" spans="1:8" x14ac:dyDescent="0.3">
      <c r="A33" s="14"/>
      <c r="B33" s="141"/>
      <c r="C33" s="141"/>
      <c r="D33" s="141"/>
      <c r="E33" s="141"/>
      <c r="F33" s="141"/>
      <c r="G33" s="141"/>
      <c r="H33" s="141"/>
    </row>
    <row r="34" spans="1:8" x14ac:dyDescent="0.3">
      <c r="A34" s="14"/>
      <c r="B34" s="141"/>
      <c r="C34" s="141"/>
      <c r="D34" s="141"/>
      <c r="E34" s="141"/>
      <c r="F34" s="141"/>
      <c r="G34" s="141"/>
      <c r="H34" s="141"/>
    </row>
  </sheetData>
  <sheetProtection sheet="1" objects="1" scenarios="1" formatCells="0" formatColumns="0" formatRows="0" insertRows="0" deleteRows="0" sort="0" autoFilter="0" pivotTables="0"/>
  <mergeCells count="8">
    <mergeCell ref="B31:H34"/>
    <mergeCell ref="A4:H4"/>
    <mergeCell ref="C11:H11"/>
    <mergeCell ref="C10:H10"/>
    <mergeCell ref="C9:H9"/>
    <mergeCell ref="C8:H8"/>
    <mergeCell ref="C12:H12"/>
    <mergeCell ref="B22:H23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showGridLines="0" zoomScaleNormal="100" workbookViewId="0">
      <selection activeCell="E13" sqref="E13"/>
    </sheetView>
  </sheetViews>
  <sheetFormatPr baseColWidth="10" defaultColWidth="8.6640625" defaultRowHeight="14.4" x14ac:dyDescent="0.3"/>
  <cols>
    <col min="1" max="1" width="10" style="4" customWidth="1"/>
    <col min="2" max="2" width="30" style="4" customWidth="1"/>
    <col min="3" max="3" width="16" style="4" customWidth="1"/>
    <col min="4" max="4" width="20" style="4" customWidth="1"/>
    <col min="5" max="5" width="12" style="4" customWidth="1"/>
    <col min="6" max="6" width="18" style="4" customWidth="1"/>
    <col min="7" max="7" width="22" style="4" customWidth="1"/>
    <col min="8" max="10" width="8.6640625" style="4" customWidth="1"/>
    <col min="11" max="16384" width="8.6640625" style="4"/>
  </cols>
  <sheetData>
    <row r="1" spans="1:7" ht="30" customHeight="1" x14ac:dyDescent="0.3">
      <c r="A1" s="90" t="s">
        <v>131</v>
      </c>
      <c r="B1" s="91"/>
      <c r="C1" s="91"/>
      <c r="D1" s="91"/>
      <c r="E1" s="91"/>
      <c r="F1" s="91"/>
      <c r="G1" s="91"/>
    </row>
    <row r="2" spans="1:7" ht="18" customHeight="1" x14ac:dyDescent="0.3">
      <c r="A2" s="106" t="s">
        <v>317</v>
      </c>
      <c r="B2" s="107"/>
      <c r="C2" s="108"/>
      <c r="D2" s="108"/>
      <c r="E2" s="108"/>
      <c r="F2" s="108"/>
      <c r="G2" s="108"/>
    </row>
    <row r="3" spans="1:7" x14ac:dyDescent="0.3">
      <c r="A3" s="43"/>
      <c r="B3" s="43"/>
      <c r="C3" s="43"/>
      <c r="D3" s="43"/>
      <c r="E3" s="43"/>
      <c r="F3" s="43"/>
      <c r="G3" s="43"/>
    </row>
    <row r="4" spans="1:7" ht="30" customHeight="1" x14ac:dyDescent="0.3">
      <c r="A4" s="109" t="s">
        <v>132</v>
      </c>
      <c r="B4" s="109" t="s">
        <v>133</v>
      </c>
      <c r="C4" s="109" t="s">
        <v>134</v>
      </c>
      <c r="D4" s="109" t="s">
        <v>135</v>
      </c>
      <c r="E4" s="109" t="s">
        <v>136</v>
      </c>
      <c r="F4" s="109" t="s">
        <v>137</v>
      </c>
      <c r="G4" s="109" t="s">
        <v>138</v>
      </c>
    </row>
    <row r="5" spans="1:7" x14ac:dyDescent="0.3">
      <c r="A5" s="110" t="s">
        <v>91</v>
      </c>
      <c r="B5" s="110" t="s">
        <v>139</v>
      </c>
      <c r="C5" s="110" t="s">
        <v>140</v>
      </c>
      <c r="D5" s="110" t="s">
        <v>141</v>
      </c>
      <c r="E5" s="111">
        <v>60</v>
      </c>
      <c r="F5" s="112">
        <v>28000000</v>
      </c>
      <c r="G5" s="112">
        <v>12000000</v>
      </c>
    </row>
    <row r="6" spans="1:7" x14ac:dyDescent="0.3">
      <c r="A6" s="110" t="s">
        <v>92</v>
      </c>
      <c r="B6" s="110" t="s">
        <v>142</v>
      </c>
      <c r="C6" s="110" t="s">
        <v>143</v>
      </c>
      <c r="D6" s="110" t="s">
        <v>141</v>
      </c>
      <c r="E6" s="111">
        <v>48</v>
      </c>
      <c r="F6" s="112">
        <v>22000000</v>
      </c>
      <c r="G6" s="112">
        <v>9500000</v>
      </c>
    </row>
    <row r="7" spans="1:7" x14ac:dyDescent="0.3">
      <c r="A7" s="110" t="s">
        <v>93</v>
      </c>
      <c r="B7" s="110" t="s">
        <v>144</v>
      </c>
      <c r="C7" s="110" t="s">
        <v>145</v>
      </c>
      <c r="D7" s="110" t="s">
        <v>146</v>
      </c>
      <c r="E7" s="111">
        <v>20</v>
      </c>
      <c r="F7" s="112">
        <v>12000000</v>
      </c>
      <c r="G7" s="112">
        <v>4200000</v>
      </c>
    </row>
    <row r="8" spans="1:7" x14ac:dyDescent="0.3">
      <c r="A8" s="113"/>
      <c r="B8" s="113"/>
      <c r="C8" s="113"/>
      <c r="D8" s="113"/>
      <c r="E8" s="113"/>
      <c r="F8" s="114"/>
      <c r="G8" s="114"/>
    </row>
    <row r="9" spans="1:7" x14ac:dyDescent="0.3">
      <c r="A9" s="113"/>
      <c r="B9" s="113"/>
      <c r="C9" s="113"/>
      <c r="D9" s="113"/>
      <c r="E9" s="113"/>
      <c r="F9" s="114"/>
      <c r="G9" s="114"/>
    </row>
    <row r="10" spans="1:7" x14ac:dyDescent="0.3">
      <c r="A10" s="113"/>
      <c r="B10" s="113"/>
      <c r="C10" s="113"/>
      <c r="D10" s="113"/>
      <c r="E10" s="113"/>
      <c r="F10" s="114"/>
      <c r="G10" s="114"/>
    </row>
    <row r="11" spans="1:7" x14ac:dyDescent="0.3">
      <c r="A11" s="113"/>
      <c r="B11" s="113"/>
      <c r="C11" s="113"/>
      <c r="D11" s="113"/>
      <c r="E11" s="113"/>
      <c r="F11" s="114"/>
      <c r="G11" s="114"/>
    </row>
    <row r="12" spans="1:7" x14ac:dyDescent="0.3">
      <c r="A12" s="113"/>
      <c r="B12" s="113"/>
      <c r="C12" s="113"/>
      <c r="D12" s="113"/>
      <c r="E12" s="113"/>
      <c r="F12" s="114"/>
      <c r="G12" s="114"/>
    </row>
    <row r="13" spans="1:7" x14ac:dyDescent="0.3">
      <c r="A13" s="113"/>
      <c r="B13" s="113"/>
      <c r="C13" s="113"/>
      <c r="D13" s="113"/>
      <c r="E13" s="113"/>
      <c r="F13" s="114"/>
      <c r="G13" s="114"/>
    </row>
    <row r="14" spans="1:7" x14ac:dyDescent="0.3">
      <c r="A14" s="113"/>
      <c r="B14" s="113"/>
      <c r="C14" s="113"/>
      <c r="D14" s="113"/>
      <c r="E14" s="113"/>
      <c r="F14" s="114"/>
      <c r="G14" s="114"/>
    </row>
    <row r="15" spans="1:7" x14ac:dyDescent="0.3">
      <c r="A15" s="113"/>
      <c r="B15" s="113"/>
      <c r="C15" s="113"/>
      <c r="D15" s="113"/>
      <c r="E15" s="113"/>
      <c r="F15" s="114"/>
      <c r="G15" s="114"/>
    </row>
    <row r="16" spans="1:7" x14ac:dyDescent="0.3">
      <c r="A16" s="113"/>
      <c r="B16" s="113"/>
      <c r="C16" s="113"/>
      <c r="D16" s="113"/>
      <c r="E16" s="113"/>
      <c r="F16" s="114"/>
      <c r="G16" s="114"/>
    </row>
    <row r="17" spans="1:7" x14ac:dyDescent="0.3">
      <c r="A17" s="113"/>
      <c r="B17" s="113"/>
      <c r="C17" s="113"/>
      <c r="D17" s="113"/>
      <c r="E17" s="113"/>
      <c r="F17" s="114"/>
      <c r="G17" s="114"/>
    </row>
    <row r="18" spans="1:7" x14ac:dyDescent="0.3">
      <c r="A18" s="113"/>
      <c r="B18" s="113"/>
      <c r="C18" s="113"/>
      <c r="D18" s="113"/>
      <c r="E18" s="113"/>
      <c r="F18" s="114"/>
      <c r="G18" s="114"/>
    </row>
    <row r="19" spans="1:7" x14ac:dyDescent="0.3">
      <c r="A19" s="113"/>
      <c r="B19" s="113"/>
      <c r="C19" s="113"/>
      <c r="D19" s="113"/>
      <c r="E19" s="113"/>
      <c r="F19" s="114"/>
      <c r="G19" s="114"/>
    </row>
    <row r="20" spans="1:7" x14ac:dyDescent="0.3">
      <c r="A20" s="113"/>
      <c r="B20" s="113"/>
      <c r="C20" s="113"/>
      <c r="D20" s="113"/>
      <c r="E20" s="113"/>
      <c r="F20" s="114"/>
      <c r="G20" s="114"/>
    </row>
    <row r="21" spans="1:7" x14ac:dyDescent="0.3">
      <c r="A21" s="113"/>
      <c r="B21" s="113"/>
      <c r="C21" s="113"/>
      <c r="D21" s="113"/>
      <c r="E21" s="113"/>
      <c r="F21" s="114"/>
      <c r="G21" s="114"/>
    </row>
    <row r="22" spans="1:7" x14ac:dyDescent="0.3">
      <c r="A22" s="113"/>
      <c r="B22" s="113"/>
      <c r="C22" s="113"/>
      <c r="D22" s="113"/>
      <c r="E22" s="113"/>
      <c r="F22" s="114"/>
      <c r="G22" s="114"/>
    </row>
    <row r="23" spans="1:7" x14ac:dyDescent="0.3">
      <c r="A23" s="113"/>
      <c r="B23" s="113"/>
      <c r="C23" s="113"/>
      <c r="D23" s="113"/>
      <c r="E23" s="113"/>
      <c r="F23" s="114"/>
      <c r="G23" s="114"/>
    </row>
    <row r="24" spans="1:7" x14ac:dyDescent="0.3">
      <c r="A24" s="113"/>
      <c r="B24" s="113"/>
      <c r="C24" s="113"/>
      <c r="D24" s="113"/>
      <c r="E24" s="113"/>
      <c r="F24" s="114"/>
      <c r="G24" s="114"/>
    </row>
    <row r="25" spans="1:7" ht="15" customHeight="1" x14ac:dyDescent="0.3"/>
  </sheetData>
  <sheetProtection sheet="1" objects="1" scenarios="1" formatCells="0" formatColumns="0" formatRows="0" insertRows="0" deleteRows="0" sort="0" autoFilter="0" pivotTables="0"/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5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L17" sqref="L17"/>
    </sheetView>
  </sheetViews>
  <sheetFormatPr baseColWidth="10" defaultColWidth="8.6640625" defaultRowHeight="14.4" x14ac:dyDescent="0.3"/>
  <cols>
    <col min="1" max="1" width="10" style="1" customWidth="1"/>
    <col min="2" max="2" width="28" style="1" customWidth="1"/>
    <col min="3" max="3" width="10" style="1" customWidth="1"/>
    <col min="4" max="4" width="13" style="1" customWidth="1"/>
    <col min="5" max="5" width="12" style="1" customWidth="1"/>
    <col min="6" max="6" width="15" style="1" customWidth="1"/>
    <col min="7" max="8" width="12" style="1" customWidth="1"/>
    <col min="9" max="9" width="13" style="1" customWidth="1"/>
    <col min="10" max="11" width="14" style="1" customWidth="1"/>
    <col min="12" max="12" width="10" style="1" customWidth="1"/>
    <col min="13" max="13" width="11.88671875" style="1" customWidth="1"/>
    <col min="14" max="14" width="15" style="1" customWidth="1"/>
    <col min="15" max="17" width="8.6640625" style="1" customWidth="1"/>
    <col min="18" max="16384" width="8.6640625" style="1"/>
  </cols>
  <sheetData>
    <row r="1" spans="1:14" ht="30" customHeight="1" x14ac:dyDescent="0.3">
      <c r="A1" s="90" t="s">
        <v>147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</row>
    <row r="2" spans="1:14" ht="18" customHeight="1" x14ac:dyDescent="0.3">
      <c r="A2" s="106" t="s">
        <v>316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</row>
    <row r="3" spans="1:14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ht="37.799999999999997" customHeight="1" x14ac:dyDescent="0.3">
      <c r="A4" s="116" t="s">
        <v>132</v>
      </c>
      <c r="B4" s="116" t="s">
        <v>148</v>
      </c>
      <c r="C4" s="116" t="s">
        <v>14</v>
      </c>
      <c r="D4" s="116" t="s">
        <v>149</v>
      </c>
      <c r="E4" s="116" t="s">
        <v>150</v>
      </c>
      <c r="F4" s="116" t="s">
        <v>151</v>
      </c>
      <c r="G4" s="116" t="s">
        <v>152</v>
      </c>
      <c r="H4" s="116" t="s">
        <v>153</v>
      </c>
      <c r="I4" s="116" t="s">
        <v>154</v>
      </c>
      <c r="J4" s="116" t="s">
        <v>155</v>
      </c>
      <c r="K4" s="116" t="s">
        <v>156</v>
      </c>
      <c r="L4" s="116" t="s">
        <v>157</v>
      </c>
      <c r="M4" s="116" t="s">
        <v>158</v>
      </c>
      <c r="N4" s="116" t="s">
        <v>159</v>
      </c>
    </row>
    <row r="5" spans="1:14" x14ac:dyDescent="0.3">
      <c r="A5" s="117" t="s">
        <v>160</v>
      </c>
      <c r="B5" s="117" t="s">
        <v>161</v>
      </c>
      <c r="C5" s="117" t="s">
        <v>162</v>
      </c>
      <c r="D5" s="118">
        <v>14500</v>
      </c>
      <c r="E5" s="119">
        <v>66.12</v>
      </c>
      <c r="F5" s="119">
        <v>99.21</v>
      </c>
      <c r="G5" s="119">
        <v>26.54</v>
      </c>
      <c r="H5" s="120">
        <f t="shared" ref="H5:H36" si="0">IF($A5="",0,$E5+$F5-$G5)</f>
        <v>138.79</v>
      </c>
      <c r="I5" s="120">
        <f>IF($A5="",0,SUMIF(Recetas!$B$5:$B$89,$A5,Recetas!$E$5:$E$89))</f>
        <v>29.872</v>
      </c>
      <c r="J5" s="120">
        <f t="shared" ref="J5:J36" si="1">IF($A5="",0,$H5-$I5)</f>
        <v>108.91799999999999</v>
      </c>
      <c r="K5" s="121">
        <f t="shared" ref="K5:K36" si="2">IF($A5="",0,$J5*$D5)</f>
        <v>1579311</v>
      </c>
      <c r="L5" s="9">
        <f t="shared" ref="L5:L36" si="3">IF($I5=0,"",$J5/$I5)</f>
        <v>3.6461569362613817</v>
      </c>
      <c r="M5" s="121">
        <f t="shared" ref="M5:M36" si="4">IF($A5="",0,$H5*$D5)</f>
        <v>2012455</v>
      </c>
      <c r="N5" s="121">
        <f t="shared" ref="N5:N36" si="5">IF($A5="",0,$I5*$D5)</f>
        <v>433144</v>
      </c>
    </row>
    <row r="6" spans="1:14" x14ac:dyDescent="0.3">
      <c r="A6" s="117" t="s">
        <v>163</v>
      </c>
      <c r="B6" s="117" t="s">
        <v>164</v>
      </c>
      <c r="C6" s="117" t="s">
        <v>162</v>
      </c>
      <c r="D6" s="118">
        <v>32000</v>
      </c>
      <c r="E6" s="119">
        <v>36.99</v>
      </c>
      <c r="F6" s="119">
        <v>107.96</v>
      </c>
      <c r="G6" s="119">
        <v>33.89</v>
      </c>
      <c r="H6" s="120">
        <f t="shared" si="0"/>
        <v>111.05999999999999</v>
      </c>
      <c r="I6" s="120">
        <f>IF($A6="",0,SUMIF(Recetas!$B$5:$B$89,$A6,Recetas!$E$5:$E$89))</f>
        <v>21.574000000000002</v>
      </c>
      <c r="J6" s="120">
        <f t="shared" si="1"/>
        <v>89.48599999999999</v>
      </c>
      <c r="K6" s="121">
        <f t="shared" si="2"/>
        <v>2863551.9999999995</v>
      </c>
      <c r="L6" s="9">
        <f t="shared" si="3"/>
        <v>4.1478631686289047</v>
      </c>
      <c r="M6" s="121">
        <f t="shared" si="4"/>
        <v>3553919.9999999995</v>
      </c>
      <c r="N6" s="121">
        <f t="shared" si="5"/>
        <v>690368</v>
      </c>
    </row>
    <row r="7" spans="1:14" x14ac:dyDescent="0.3">
      <c r="A7" s="117" t="s">
        <v>165</v>
      </c>
      <c r="B7" s="117" t="s">
        <v>166</v>
      </c>
      <c r="C7" s="117" t="s">
        <v>162</v>
      </c>
      <c r="D7" s="118">
        <v>18000</v>
      </c>
      <c r="E7" s="119">
        <v>30.18</v>
      </c>
      <c r="F7" s="119">
        <v>83.85</v>
      </c>
      <c r="G7" s="119">
        <v>25.48</v>
      </c>
      <c r="H7" s="120">
        <f t="shared" si="0"/>
        <v>88.55</v>
      </c>
      <c r="I7" s="120">
        <f>IF($A7="",0,SUMIF(Recetas!$B$5:$B$89,$A7,Recetas!$E$5:$E$89))</f>
        <v>24.372</v>
      </c>
      <c r="J7" s="120">
        <f t="shared" si="1"/>
        <v>64.177999999999997</v>
      </c>
      <c r="K7" s="121">
        <f t="shared" si="2"/>
        <v>1155204</v>
      </c>
      <c r="L7" s="9">
        <f t="shared" si="3"/>
        <v>2.6332676842278024</v>
      </c>
      <c r="M7" s="121">
        <f t="shared" si="4"/>
        <v>1593900</v>
      </c>
      <c r="N7" s="121">
        <f t="shared" si="5"/>
        <v>438696</v>
      </c>
    </row>
    <row r="8" spans="1:14" x14ac:dyDescent="0.3">
      <c r="A8" s="117" t="s">
        <v>167</v>
      </c>
      <c r="B8" s="117" t="s">
        <v>168</v>
      </c>
      <c r="C8" s="117" t="s">
        <v>162</v>
      </c>
      <c r="D8" s="118">
        <v>24000</v>
      </c>
      <c r="E8" s="119">
        <v>7.2</v>
      </c>
      <c r="F8" s="119">
        <v>17.45</v>
      </c>
      <c r="G8" s="119">
        <v>5.51</v>
      </c>
      <c r="H8" s="120">
        <f t="shared" si="0"/>
        <v>19.14</v>
      </c>
      <c r="I8" s="120">
        <f>IF($A8="",0,SUMIF(Recetas!$B$5:$B$89,$A8,Recetas!$E$5:$E$89))</f>
        <v>3.64</v>
      </c>
      <c r="J8" s="120">
        <f t="shared" si="1"/>
        <v>15.5</v>
      </c>
      <c r="K8" s="121">
        <f t="shared" si="2"/>
        <v>372000</v>
      </c>
      <c r="L8" s="9">
        <f t="shared" si="3"/>
        <v>4.2582417582417582</v>
      </c>
      <c r="M8" s="121">
        <f t="shared" si="4"/>
        <v>459360</v>
      </c>
      <c r="N8" s="121">
        <f t="shared" si="5"/>
        <v>87360</v>
      </c>
    </row>
    <row r="9" spans="1:14" x14ac:dyDescent="0.3">
      <c r="A9" s="117" t="s">
        <v>169</v>
      </c>
      <c r="B9" s="117" t="s">
        <v>170</v>
      </c>
      <c r="C9" s="117" t="s">
        <v>162</v>
      </c>
      <c r="D9" s="118">
        <v>46000</v>
      </c>
      <c r="E9" s="119">
        <v>3.23</v>
      </c>
      <c r="F9" s="119">
        <v>6.57</v>
      </c>
      <c r="G9" s="119">
        <v>1.43</v>
      </c>
      <c r="H9" s="120">
        <f t="shared" si="0"/>
        <v>8.370000000000001</v>
      </c>
      <c r="I9" s="120">
        <f>IF($A9="",0,SUMIF(Recetas!$B$5:$B$89,$A9,Recetas!$E$5:$E$89))</f>
        <v>1.655</v>
      </c>
      <c r="J9" s="120">
        <f t="shared" si="1"/>
        <v>6.7150000000000007</v>
      </c>
      <c r="K9" s="121">
        <f t="shared" si="2"/>
        <v>308890.00000000006</v>
      </c>
      <c r="L9" s="9">
        <f t="shared" si="3"/>
        <v>4.0574018126888225</v>
      </c>
      <c r="M9" s="121">
        <f t="shared" si="4"/>
        <v>385020.00000000006</v>
      </c>
      <c r="N9" s="121">
        <f t="shared" si="5"/>
        <v>76130</v>
      </c>
    </row>
    <row r="10" spans="1:14" x14ac:dyDescent="0.3">
      <c r="A10" s="117" t="s">
        <v>171</v>
      </c>
      <c r="B10" s="117" t="s">
        <v>172</v>
      </c>
      <c r="C10" s="117" t="s">
        <v>162</v>
      </c>
      <c r="D10" s="118">
        <v>4200</v>
      </c>
      <c r="E10" s="119">
        <v>77.2</v>
      </c>
      <c r="F10" s="119">
        <v>139.97999999999999</v>
      </c>
      <c r="G10" s="119">
        <v>51.12</v>
      </c>
      <c r="H10" s="120">
        <f t="shared" si="0"/>
        <v>166.06</v>
      </c>
      <c r="I10" s="120">
        <f>IF($A10="",0,SUMIF(Recetas!$B$5:$B$89,$A10,Recetas!$E$5:$E$89))</f>
        <v>37.497999999999998</v>
      </c>
      <c r="J10" s="120">
        <f t="shared" si="1"/>
        <v>128.56200000000001</v>
      </c>
      <c r="K10" s="121">
        <f t="shared" si="2"/>
        <v>539960.4</v>
      </c>
      <c r="L10" s="9">
        <f t="shared" si="3"/>
        <v>3.42850285348552</v>
      </c>
      <c r="M10" s="121">
        <f t="shared" si="4"/>
        <v>697452</v>
      </c>
      <c r="N10" s="121">
        <f t="shared" si="5"/>
        <v>157491.59999999998</v>
      </c>
    </row>
    <row r="11" spans="1:14" x14ac:dyDescent="0.3">
      <c r="A11" s="117" t="s">
        <v>173</v>
      </c>
      <c r="B11" s="117" t="s">
        <v>174</v>
      </c>
      <c r="C11" s="117" t="s">
        <v>162</v>
      </c>
      <c r="D11" s="118">
        <v>3800</v>
      </c>
      <c r="E11" s="119">
        <v>0</v>
      </c>
      <c r="F11" s="119">
        <v>0</v>
      </c>
      <c r="G11" s="119">
        <v>0</v>
      </c>
      <c r="H11" s="120">
        <f t="shared" si="0"/>
        <v>0</v>
      </c>
      <c r="I11" s="120">
        <f>IF($A11="",0,SUMIF(Recetas!$B$5:$B$89,$A11,Recetas!$E$5:$E$89))</f>
        <v>0</v>
      </c>
      <c r="J11" s="120">
        <f t="shared" si="1"/>
        <v>0</v>
      </c>
      <c r="K11" s="121">
        <f t="shared" si="2"/>
        <v>0</v>
      </c>
      <c r="L11" s="9" t="str">
        <f t="shared" si="3"/>
        <v/>
      </c>
      <c r="M11" s="121">
        <f t="shared" si="4"/>
        <v>0</v>
      </c>
      <c r="N11" s="121">
        <f t="shared" si="5"/>
        <v>0</v>
      </c>
    </row>
    <row r="12" spans="1:14" x14ac:dyDescent="0.3">
      <c r="A12" s="117" t="s">
        <v>175</v>
      </c>
      <c r="B12" s="117" t="s">
        <v>176</v>
      </c>
      <c r="C12" s="117" t="s">
        <v>162</v>
      </c>
      <c r="D12" s="118">
        <v>2200</v>
      </c>
      <c r="E12" s="119">
        <v>163.47999999999999</v>
      </c>
      <c r="F12" s="119">
        <v>308.02</v>
      </c>
      <c r="G12" s="119">
        <v>114.71</v>
      </c>
      <c r="H12" s="120">
        <f t="shared" si="0"/>
        <v>356.79</v>
      </c>
      <c r="I12" s="120">
        <f>IF($A12="",0,SUMIF(Recetas!$B$5:$B$89,$A12,Recetas!$E$5:$E$89))</f>
        <v>75.539000000000001</v>
      </c>
      <c r="J12" s="120">
        <f t="shared" si="1"/>
        <v>281.25100000000003</v>
      </c>
      <c r="K12" s="121">
        <f t="shared" si="2"/>
        <v>618752.20000000007</v>
      </c>
      <c r="L12" s="9">
        <f t="shared" si="3"/>
        <v>3.723255536874992</v>
      </c>
      <c r="M12" s="121">
        <f t="shared" si="4"/>
        <v>784938</v>
      </c>
      <c r="N12" s="121">
        <f t="shared" si="5"/>
        <v>166185.80000000002</v>
      </c>
    </row>
    <row r="13" spans="1:14" x14ac:dyDescent="0.3">
      <c r="A13" s="117" t="s">
        <v>177</v>
      </c>
      <c r="B13" s="117" t="s">
        <v>178</v>
      </c>
      <c r="C13" s="117" t="s">
        <v>162</v>
      </c>
      <c r="D13" s="118">
        <v>2600</v>
      </c>
      <c r="E13" s="119">
        <v>11.99</v>
      </c>
      <c r="F13" s="119">
        <v>35.93</v>
      </c>
      <c r="G13" s="119">
        <v>9.92</v>
      </c>
      <c r="H13" s="120">
        <f t="shared" si="0"/>
        <v>38</v>
      </c>
      <c r="I13" s="120">
        <f>IF($A13="",0,SUMIF(Recetas!$B$5:$B$89,$A13,Recetas!$E$5:$E$89))</f>
        <v>11.67</v>
      </c>
      <c r="J13" s="120">
        <f t="shared" si="1"/>
        <v>26.33</v>
      </c>
      <c r="K13" s="121">
        <f t="shared" si="2"/>
        <v>68458</v>
      </c>
      <c r="L13" s="9">
        <f t="shared" si="3"/>
        <v>2.2562125107112254</v>
      </c>
      <c r="M13" s="121">
        <f t="shared" si="4"/>
        <v>98800</v>
      </c>
      <c r="N13" s="121">
        <f t="shared" si="5"/>
        <v>30342</v>
      </c>
    </row>
    <row r="14" spans="1:14" x14ac:dyDescent="0.3">
      <c r="A14" s="117" t="s">
        <v>179</v>
      </c>
      <c r="B14" s="117" t="s">
        <v>180</v>
      </c>
      <c r="C14" s="117" t="s">
        <v>162</v>
      </c>
      <c r="D14" s="118">
        <v>3100</v>
      </c>
      <c r="E14" s="119">
        <v>29.65</v>
      </c>
      <c r="F14" s="119">
        <v>56.89</v>
      </c>
      <c r="G14" s="119">
        <v>15.54</v>
      </c>
      <c r="H14" s="120">
        <f t="shared" si="0"/>
        <v>71</v>
      </c>
      <c r="I14" s="120">
        <f>IF($A14="",0,SUMIF(Recetas!$B$5:$B$89,$A14,Recetas!$E$5:$E$89))</f>
        <v>11.486000000000001</v>
      </c>
      <c r="J14" s="120">
        <f t="shared" si="1"/>
        <v>59.513999999999996</v>
      </c>
      <c r="K14" s="121">
        <f t="shared" si="2"/>
        <v>184493.4</v>
      </c>
      <c r="L14" s="9">
        <f t="shared" si="3"/>
        <v>5.1814382726797836</v>
      </c>
      <c r="M14" s="121">
        <f t="shared" si="4"/>
        <v>220100</v>
      </c>
      <c r="N14" s="121">
        <f t="shared" si="5"/>
        <v>35606.6</v>
      </c>
    </row>
    <row r="15" spans="1:14" x14ac:dyDescent="0.3">
      <c r="A15" s="117" t="s">
        <v>181</v>
      </c>
      <c r="B15" s="117" t="s">
        <v>182</v>
      </c>
      <c r="C15" s="117" t="s">
        <v>162</v>
      </c>
      <c r="D15" s="118">
        <v>3400</v>
      </c>
      <c r="E15" s="119">
        <v>6.71</v>
      </c>
      <c r="F15" s="119">
        <v>20.07</v>
      </c>
      <c r="G15" s="119">
        <v>4.43</v>
      </c>
      <c r="H15" s="120">
        <f t="shared" si="0"/>
        <v>22.35</v>
      </c>
      <c r="I15" s="120">
        <f>IF($A15="",0,SUMIF(Recetas!$B$5:$B$89,$A15,Recetas!$E$5:$E$89))</f>
        <v>4.4650000000000007</v>
      </c>
      <c r="J15" s="120">
        <f t="shared" si="1"/>
        <v>17.885000000000002</v>
      </c>
      <c r="K15" s="121">
        <f t="shared" si="2"/>
        <v>60809.000000000007</v>
      </c>
      <c r="L15" s="9">
        <f t="shared" si="3"/>
        <v>4.0055991041433368</v>
      </c>
      <c r="M15" s="121">
        <f t="shared" si="4"/>
        <v>75990</v>
      </c>
      <c r="N15" s="121">
        <f t="shared" si="5"/>
        <v>15181.000000000002</v>
      </c>
    </row>
    <row r="16" spans="1:14" x14ac:dyDescent="0.3">
      <c r="A16" s="117" t="s">
        <v>183</v>
      </c>
      <c r="B16" s="117" t="s">
        <v>184</v>
      </c>
      <c r="C16" s="117" t="s">
        <v>162</v>
      </c>
      <c r="D16" s="118">
        <v>2900</v>
      </c>
      <c r="E16" s="119">
        <v>9.59</v>
      </c>
      <c r="F16" s="119">
        <v>12.9</v>
      </c>
      <c r="G16" s="119">
        <v>4.46</v>
      </c>
      <c r="H16" s="120">
        <f t="shared" si="0"/>
        <v>18.03</v>
      </c>
      <c r="I16" s="120">
        <f>IF($A16="",0,SUMIF(Recetas!$B$5:$B$89,$A16,Recetas!$E$5:$E$89))</f>
        <v>4.218</v>
      </c>
      <c r="J16" s="120">
        <f t="shared" si="1"/>
        <v>13.812000000000001</v>
      </c>
      <c r="K16" s="121">
        <f t="shared" si="2"/>
        <v>40054.800000000003</v>
      </c>
      <c r="L16" s="9">
        <f t="shared" si="3"/>
        <v>3.2745376955903276</v>
      </c>
      <c r="M16" s="121">
        <f t="shared" si="4"/>
        <v>52287</v>
      </c>
      <c r="N16" s="121">
        <f t="shared" si="5"/>
        <v>12232.2</v>
      </c>
    </row>
    <row r="17" spans="1:14" x14ac:dyDescent="0.3">
      <c r="A17" s="117" t="s">
        <v>185</v>
      </c>
      <c r="B17" s="117" t="s">
        <v>186</v>
      </c>
      <c r="C17" s="117" t="s">
        <v>187</v>
      </c>
      <c r="D17" s="118">
        <v>2400</v>
      </c>
      <c r="E17" s="119">
        <v>48.48</v>
      </c>
      <c r="F17" s="119">
        <v>83.12</v>
      </c>
      <c r="G17" s="119">
        <v>30.53</v>
      </c>
      <c r="H17" s="120">
        <f t="shared" si="0"/>
        <v>101.07</v>
      </c>
      <c r="I17" s="120">
        <f>IF($A17="",0,SUMIF(Recetas!$B$5:$B$89,$A17,Recetas!$E$5:$E$89))</f>
        <v>13.672000000000001</v>
      </c>
      <c r="J17" s="120">
        <f t="shared" si="1"/>
        <v>87.397999999999996</v>
      </c>
      <c r="K17" s="121">
        <f t="shared" si="2"/>
        <v>209755.19999999998</v>
      </c>
      <c r="L17" s="9">
        <f t="shared" si="3"/>
        <v>6.3924809830310121</v>
      </c>
      <c r="M17" s="121">
        <f t="shared" si="4"/>
        <v>242567.99999999997</v>
      </c>
      <c r="N17" s="121">
        <f t="shared" si="5"/>
        <v>32812.800000000003</v>
      </c>
    </row>
    <row r="18" spans="1:14" x14ac:dyDescent="0.3">
      <c r="A18" s="117" t="s">
        <v>188</v>
      </c>
      <c r="B18" s="117" t="s">
        <v>189</v>
      </c>
      <c r="C18" s="117" t="s">
        <v>187</v>
      </c>
      <c r="D18" s="118">
        <v>3600</v>
      </c>
      <c r="E18" s="119">
        <v>21.97</v>
      </c>
      <c r="F18" s="119">
        <v>58.89</v>
      </c>
      <c r="G18" s="119">
        <v>17.29</v>
      </c>
      <c r="H18" s="120">
        <f t="shared" si="0"/>
        <v>63.57</v>
      </c>
      <c r="I18" s="120">
        <f>IF($A18="",0,SUMIF(Recetas!$B$5:$B$89,$A18,Recetas!$E$5:$E$89))</f>
        <v>8.7340000000000018</v>
      </c>
      <c r="J18" s="120">
        <f t="shared" si="1"/>
        <v>54.835999999999999</v>
      </c>
      <c r="K18" s="121">
        <f t="shared" si="2"/>
        <v>197409.6</v>
      </c>
      <c r="L18" s="9">
        <f t="shared" si="3"/>
        <v>6.2784520265628565</v>
      </c>
      <c r="M18" s="121">
        <f t="shared" si="4"/>
        <v>228852</v>
      </c>
      <c r="N18" s="121">
        <f t="shared" si="5"/>
        <v>31442.400000000005</v>
      </c>
    </row>
    <row r="19" spans="1:14" x14ac:dyDescent="0.3">
      <c r="A19" s="117" t="s">
        <v>190</v>
      </c>
      <c r="B19" s="117" t="s">
        <v>191</v>
      </c>
      <c r="C19" s="117" t="s">
        <v>162</v>
      </c>
      <c r="D19" s="118">
        <v>3200</v>
      </c>
      <c r="E19" s="119">
        <v>5.26</v>
      </c>
      <c r="F19" s="119">
        <v>16.78</v>
      </c>
      <c r="G19" s="119">
        <v>4.05</v>
      </c>
      <c r="H19" s="120">
        <f t="shared" si="0"/>
        <v>17.989999999999998</v>
      </c>
      <c r="I19" s="120">
        <f>IF($A19="",0,SUMIF(Recetas!$B$5:$B$89,$A19,Recetas!$E$5:$E$89))</f>
        <v>2.0840000000000001</v>
      </c>
      <c r="J19" s="120">
        <f t="shared" si="1"/>
        <v>15.905999999999999</v>
      </c>
      <c r="K19" s="121">
        <f t="shared" si="2"/>
        <v>50899.199999999997</v>
      </c>
      <c r="L19" s="9">
        <f t="shared" si="3"/>
        <v>7.6324376199616113</v>
      </c>
      <c r="M19" s="121">
        <f t="shared" si="4"/>
        <v>57567.999999999993</v>
      </c>
      <c r="N19" s="121">
        <f t="shared" si="5"/>
        <v>6668.8</v>
      </c>
    </row>
    <row r="20" spans="1:14" x14ac:dyDescent="0.3">
      <c r="A20" s="117" t="s">
        <v>192</v>
      </c>
      <c r="B20" s="117" t="s">
        <v>193</v>
      </c>
      <c r="C20" s="117" t="s">
        <v>162</v>
      </c>
      <c r="D20" s="118">
        <v>21000</v>
      </c>
      <c r="E20" s="119">
        <v>13.67</v>
      </c>
      <c r="F20" s="119">
        <v>44.63</v>
      </c>
      <c r="G20" s="119">
        <v>14.29</v>
      </c>
      <c r="H20" s="120">
        <f t="shared" si="0"/>
        <v>44.010000000000005</v>
      </c>
      <c r="I20" s="120">
        <f>IF($A20="",0,SUMIF(Recetas!$B$5:$B$89,$A20,Recetas!$E$5:$E$89))</f>
        <v>9.4359999999999999</v>
      </c>
      <c r="J20" s="120">
        <f t="shared" si="1"/>
        <v>34.574000000000005</v>
      </c>
      <c r="K20" s="121">
        <f t="shared" si="2"/>
        <v>726054.00000000012</v>
      </c>
      <c r="L20" s="9">
        <f t="shared" si="3"/>
        <v>3.6640525646460369</v>
      </c>
      <c r="M20" s="121">
        <f t="shared" si="4"/>
        <v>924210.00000000012</v>
      </c>
      <c r="N20" s="121">
        <f t="shared" si="5"/>
        <v>198156</v>
      </c>
    </row>
    <row r="21" spans="1:14" x14ac:dyDescent="0.3">
      <c r="A21" s="117" t="s">
        <v>194</v>
      </c>
      <c r="B21" s="117" t="s">
        <v>195</v>
      </c>
      <c r="C21" s="117" t="s">
        <v>162</v>
      </c>
      <c r="D21" s="118">
        <v>18500</v>
      </c>
      <c r="E21" s="119">
        <v>2.4700000000000002</v>
      </c>
      <c r="F21" s="119">
        <v>7.92</v>
      </c>
      <c r="G21" s="119">
        <v>2.17</v>
      </c>
      <c r="H21" s="120">
        <f t="shared" si="0"/>
        <v>8.2200000000000006</v>
      </c>
      <c r="I21" s="120">
        <f>IF($A21="",0,SUMIF(Recetas!$B$5:$B$89,$A21,Recetas!$E$5:$E$89))</f>
        <v>1.9460000000000002</v>
      </c>
      <c r="J21" s="120">
        <f t="shared" si="1"/>
        <v>6.2740000000000009</v>
      </c>
      <c r="K21" s="121">
        <f t="shared" si="2"/>
        <v>116069.00000000001</v>
      </c>
      <c r="L21" s="9">
        <f t="shared" si="3"/>
        <v>3.224049331963001</v>
      </c>
      <c r="M21" s="121">
        <f t="shared" si="4"/>
        <v>152070</v>
      </c>
      <c r="N21" s="121">
        <f t="shared" si="5"/>
        <v>36001</v>
      </c>
    </row>
    <row r="22" spans="1:14" x14ac:dyDescent="0.3">
      <c r="A22" s="117" t="s">
        <v>196</v>
      </c>
      <c r="B22" s="117" t="s">
        <v>197</v>
      </c>
      <c r="C22" s="117" t="s">
        <v>198</v>
      </c>
      <c r="D22" s="118">
        <v>9800</v>
      </c>
      <c r="E22" s="119">
        <v>9.18</v>
      </c>
      <c r="F22" s="119">
        <v>15.33</v>
      </c>
      <c r="G22" s="119">
        <v>5.27</v>
      </c>
      <c r="H22" s="120">
        <f t="shared" si="0"/>
        <v>19.239999999999998</v>
      </c>
      <c r="I22" s="120">
        <f>IF($A22="",0,SUMIF(Recetas!$B$5:$B$89,$A22,Recetas!$E$5:$E$89))</f>
        <v>2.9139999999999997</v>
      </c>
      <c r="J22" s="120">
        <f t="shared" si="1"/>
        <v>16.326000000000001</v>
      </c>
      <c r="K22" s="121">
        <f t="shared" si="2"/>
        <v>159994.80000000002</v>
      </c>
      <c r="L22" s="9">
        <f t="shared" si="3"/>
        <v>5.6026080988332199</v>
      </c>
      <c r="M22" s="121">
        <f t="shared" si="4"/>
        <v>188551.99999999997</v>
      </c>
      <c r="N22" s="121">
        <f t="shared" si="5"/>
        <v>28557.199999999997</v>
      </c>
    </row>
    <row r="23" spans="1:14" x14ac:dyDescent="0.3">
      <c r="A23" s="117" t="s">
        <v>199</v>
      </c>
      <c r="B23" s="117" t="s">
        <v>200</v>
      </c>
      <c r="C23" s="117" t="s">
        <v>198</v>
      </c>
      <c r="D23" s="118">
        <v>3900</v>
      </c>
      <c r="E23" s="119">
        <v>14.1</v>
      </c>
      <c r="F23" s="119">
        <v>26.04</v>
      </c>
      <c r="G23" s="119">
        <v>9.9600000000000009</v>
      </c>
      <c r="H23" s="120">
        <f t="shared" si="0"/>
        <v>30.18</v>
      </c>
      <c r="I23" s="120">
        <f>IF($A23="",0,SUMIF(Recetas!$B$5:$B$89,$A23,Recetas!$E$5:$E$89))</f>
        <v>3.9409999999999998</v>
      </c>
      <c r="J23" s="120">
        <f t="shared" si="1"/>
        <v>26.239000000000001</v>
      </c>
      <c r="K23" s="121">
        <f t="shared" si="2"/>
        <v>102332.1</v>
      </c>
      <c r="L23" s="9">
        <f t="shared" si="3"/>
        <v>6.657954833798529</v>
      </c>
      <c r="M23" s="121">
        <f t="shared" si="4"/>
        <v>117702</v>
      </c>
      <c r="N23" s="121">
        <f t="shared" si="5"/>
        <v>15369.9</v>
      </c>
    </row>
    <row r="24" spans="1:14" x14ac:dyDescent="0.3">
      <c r="A24" s="117" t="s">
        <v>201</v>
      </c>
      <c r="B24" s="117" t="s">
        <v>202</v>
      </c>
      <c r="C24" s="117" t="s">
        <v>187</v>
      </c>
      <c r="D24" s="118">
        <v>620</v>
      </c>
      <c r="E24" s="119">
        <v>337.93</v>
      </c>
      <c r="F24" s="119">
        <v>483.37</v>
      </c>
      <c r="G24" s="119">
        <v>175.14</v>
      </c>
      <c r="H24" s="120">
        <f t="shared" si="0"/>
        <v>646.16</v>
      </c>
      <c r="I24" s="120">
        <f>IF($A24="",0,SUMIF(Recetas!$B$5:$B$89,$A24,Recetas!$E$5:$E$89))</f>
        <v>105.83499999999999</v>
      </c>
      <c r="J24" s="120">
        <f t="shared" si="1"/>
        <v>540.32499999999993</v>
      </c>
      <c r="K24" s="121">
        <f t="shared" si="2"/>
        <v>335001.49999999994</v>
      </c>
      <c r="L24" s="9">
        <f t="shared" si="3"/>
        <v>5.1053526716114703</v>
      </c>
      <c r="M24" s="121">
        <f t="shared" si="4"/>
        <v>400619.19999999995</v>
      </c>
      <c r="N24" s="121">
        <f t="shared" si="5"/>
        <v>65617.7</v>
      </c>
    </row>
    <row r="25" spans="1:14" x14ac:dyDescent="0.3">
      <c r="A25" s="117" t="s">
        <v>203</v>
      </c>
      <c r="B25" s="117" t="s">
        <v>204</v>
      </c>
      <c r="C25" s="117" t="s">
        <v>162</v>
      </c>
      <c r="D25" s="118">
        <v>3600</v>
      </c>
      <c r="E25" s="119">
        <v>18.399999999999999</v>
      </c>
      <c r="F25" s="119">
        <v>57.72</v>
      </c>
      <c r="G25" s="119">
        <v>17.04</v>
      </c>
      <c r="H25" s="120">
        <f t="shared" si="0"/>
        <v>59.080000000000005</v>
      </c>
      <c r="I25" s="120">
        <f>IF($A25="",0,SUMIF(Recetas!$B$5:$B$89,$A25,Recetas!$E$5:$E$89))</f>
        <v>12.404</v>
      </c>
      <c r="J25" s="120">
        <f t="shared" si="1"/>
        <v>46.676000000000002</v>
      </c>
      <c r="K25" s="121">
        <f t="shared" si="2"/>
        <v>168033.6</v>
      </c>
      <c r="L25" s="9">
        <f t="shared" si="3"/>
        <v>3.7629796839729122</v>
      </c>
      <c r="M25" s="121">
        <f t="shared" si="4"/>
        <v>212688.00000000003</v>
      </c>
      <c r="N25" s="121">
        <f t="shared" si="5"/>
        <v>44654.400000000001</v>
      </c>
    </row>
    <row r="26" spans="1:14" x14ac:dyDescent="0.3">
      <c r="A26" s="117" t="s">
        <v>205</v>
      </c>
      <c r="B26" s="117" t="s">
        <v>206</v>
      </c>
      <c r="C26" s="117" t="s">
        <v>187</v>
      </c>
      <c r="D26" s="118">
        <v>1400</v>
      </c>
      <c r="E26" s="119">
        <v>245.93</v>
      </c>
      <c r="F26" s="119">
        <v>710.94</v>
      </c>
      <c r="G26" s="119">
        <v>234</v>
      </c>
      <c r="H26" s="120">
        <f t="shared" si="0"/>
        <v>722.87000000000012</v>
      </c>
      <c r="I26" s="120">
        <f>IF($A26="",0,SUMIF(Recetas!$B$5:$B$89,$A26,Recetas!$E$5:$E$89))</f>
        <v>187.911</v>
      </c>
      <c r="J26" s="120">
        <f t="shared" si="1"/>
        <v>534.95900000000006</v>
      </c>
      <c r="K26" s="121">
        <f t="shared" si="2"/>
        <v>748942.60000000009</v>
      </c>
      <c r="L26" s="9">
        <f t="shared" si="3"/>
        <v>2.8468743181612575</v>
      </c>
      <c r="M26" s="121">
        <f t="shared" si="4"/>
        <v>1012018.0000000001</v>
      </c>
      <c r="N26" s="121">
        <f t="shared" si="5"/>
        <v>263075.40000000002</v>
      </c>
    </row>
    <row r="27" spans="1:14" x14ac:dyDescent="0.3">
      <c r="A27" s="117" t="s">
        <v>207</v>
      </c>
      <c r="B27" s="117" t="s">
        <v>208</v>
      </c>
      <c r="C27" s="117" t="s">
        <v>187</v>
      </c>
      <c r="D27" s="118">
        <v>700</v>
      </c>
      <c r="E27" s="119">
        <v>199.88</v>
      </c>
      <c r="F27" s="119">
        <v>341.87</v>
      </c>
      <c r="G27" s="119">
        <v>112.56</v>
      </c>
      <c r="H27" s="120">
        <f t="shared" si="0"/>
        <v>429.19</v>
      </c>
      <c r="I27" s="120">
        <f>IF($A27="",0,SUMIF(Recetas!$B$5:$B$89,$A27,Recetas!$E$5:$E$89))</f>
        <v>82.26</v>
      </c>
      <c r="J27" s="120">
        <f t="shared" si="1"/>
        <v>346.93</v>
      </c>
      <c r="K27" s="121">
        <f t="shared" si="2"/>
        <v>242851</v>
      </c>
      <c r="L27" s="9">
        <f t="shared" si="3"/>
        <v>4.2174811573061026</v>
      </c>
      <c r="M27" s="121">
        <f t="shared" si="4"/>
        <v>300433</v>
      </c>
      <c r="N27" s="121">
        <f t="shared" si="5"/>
        <v>57582</v>
      </c>
    </row>
    <row r="28" spans="1:14" x14ac:dyDescent="0.3">
      <c r="A28" s="117" t="s">
        <v>209</v>
      </c>
      <c r="B28" s="117" t="s">
        <v>210</v>
      </c>
      <c r="C28" s="117" t="s">
        <v>198</v>
      </c>
      <c r="D28" s="118">
        <v>11500</v>
      </c>
      <c r="E28" s="119">
        <v>25</v>
      </c>
      <c r="F28" s="119">
        <v>46.35</v>
      </c>
      <c r="G28" s="119">
        <v>15.82</v>
      </c>
      <c r="H28" s="120">
        <f t="shared" si="0"/>
        <v>55.529999999999994</v>
      </c>
      <c r="I28" s="120">
        <f>IF($A28="",0,SUMIF(Recetas!$B$5:$B$89,$A28,Recetas!$E$5:$E$89))</f>
        <v>12.162999999999998</v>
      </c>
      <c r="J28" s="120">
        <f t="shared" si="1"/>
        <v>43.366999999999997</v>
      </c>
      <c r="K28" s="121">
        <f t="shared" si="2"/>
        <v>498720.49999999994</v>
      </c>
      <c r="L28" s="9">
        <f t="shared" si="3"/>
        <v>3.5654854887774401</v>
      </c>
      <c r="M28" s="121">
        <f t="shared" si="4"/>
        <v>638594.99999999988</v>
      </c>
      <c r="N28" s="121">
        <f t="shared" si="5"/>
        <v>139874.49999999997</v>
      </c>
    </row>
    <row r="29" spans="1:14" x14ac:dyDescent="0.3">
      <c r="A29" s="117" t="s">
        <v>211</v>
      </c>
      <c r="B29" s="117" t="s">
        <v>212</v>
      </c>
      <c r="C29" s="117" t="s">
        <v>162</v>
      </c>
      <c r="D29" s="118">
        <v>16800</v>
      </c>
      <c r="E29" s="119">
        <v>2.76</v>
      </c>
      <c r="F29" s="119">
        <v>6.2</v>
      </c>
      <c r="G29" s="119">
        <v>2.0699999999999998</v>
      </c>
      <c r="H29" s="120">
        <f t="shared" si="0"/>
        <v>6.8900000000000006</v>
      </c>
      <c r="I29" s="120">
        <f>IF($A29="",0,SUMIF(Recetas!$B$5:$B$89,$A29,Recetas!$E$5:$E$89))</f>
        <v>0.96600000000000008</v>
      </c>
      <c r="J29" s="120">
        <f t="shared" si="1"/>
        <v>5.9240000000000004</v>
      </c>
      <c r="K29" s="121">
        <f t="shared" si="2"/>
        <v>99523.200000000012</v>
      </c>
      <c r="L29" s="9">
        <f t="shared" si="3"/>
        <v>6.1325051759834368</v>
      </c>
      <c r="M29" s="121">
        <f t="shared" si="4"/>
        <v>115752.00000000001</v>
      </c>
      <c r="N29" s="121">
        <f t="shared" si="5"/>
        <v>16228.800000000001</v>
      </c>
    </row>
    <row r="30" spans="1:14" x14ac:dyDescent="0.3">
      <c r="A30" s="117" t="s">
        <v>213</v>
      </c>
      <c r="B30" s="117" t="s">
        <v>214</v>
      </c>
      <c r="C30" s="117" t="s">
        <v>198</v>
      </c>
      <c r="D30" s="118">
        <v>7200</v>
      </c>
      <c r="E30" s="119">
        <v>31.72</v>
      </c>
      <c r="F30" s="119">
        <v>51.01</v>
      </c>
      <c r="G30" s="119">
        <v>20.07</v>
      </c>
      <c r="H30" s="120">
        <f t="shared" si="0"/>
        <v>62.659999999999989</v>
      </c>
      <c r="I30" s="120">
        <f>IF($A30="",0,SUMIF(Recetas!$B$5:$B$89,$A30,Recetas!$E$5:$E$89))</f>
        <v>16.350999999999999</v>
      </c>
      <c r="J30" s="120">
        <f t="shared" si="1"/>
        <v>46.30899999999999</v>
      </c>
      <c r="K30" s="121">
        <f t="shared" si="2"/>
        <v>333424.79999999993</v>
      </c>
      <c r="L30" s="9">
        <f t="shared" si="3"/>
        <v>2.8321815179499721</v>
      </c>
      <c r="M30" s="121">
        <f t="shared" si="4"/>
        <v>451151.99999999994</v>
      </c>
      <c r="N30" s="121">
        <f t="shared" si="5"/>
        <v>117727.2</v>
      </c>
    </row>
    <row r="31" spans="1:14" x14ac:dyDescent="0.3">
      <c r="A31" s="117" t="s">
        <v>215</v>
      </c>
      <c r="B31" s="117" t="s">
        <v>216</v>
      </c>
      <c r="C31" s="117" t="s">
        <v>187</v>
      </c>
      <c r="D31" s="118">
        <v>1900</v>
      </c>
      <c r="E31" s="119">
        <v>67.84</v>
      </c>
      <c r="F31" s="119">
        <v>165.61</v>
      </c>
      <c r="G31" s="119">
        <v>36.729999999999997</v>
      </c>
      <c r="H31" s="120">
        <f t="shared" si="0"/>
        <v>196.72000000000003</v>
      </c>
      <c r="I31" s="120">
        <f>IF($A31="",0,SUMIF(Recetas!$B$5:$B$89,$A31,Recetas!$E$5:$E$89))</f>
        <v>36.917999999999999</v>
      </c>
      <c r="J31" s="120">
        <f t="shared" si="1"/>
        <v>159.80200000000002</v>
      </c>
      <c r="K31" s="121">
        <f t="shared" si="2"/>
        <v>303623.80000000005</v>
      </c>
      <c r="L31" s="9">
        <f t="shared" si="3"/>
        <v>4.3285660111598681</v>
      </c>
      <c r="M31" s="121">
        <f t="shared" si="4"/>
        <v>373768.00000000006</v>
      </c>
      <c r="N31" s="121">
        <f t="shared" si="5"/>
        <v>70144.2</v>
      </c>
    </row>
    <row r="32" spans="1:14" x14ac:dyDescent="0.3">
      <c r="A32" s="117" t="s">
        <v>217</v>
      </c>
      <c r="B32" s="117" t="s">
        <v>218</v>
      </c>
      <c r="C32" s="117" t="s">
        <v>198</v>
      </c>
      <c r="D32" s="118">
        <v>5400</v>
      </c>
      <c r="E32" s="119">
        <v>26.49</v>
      </c>
      <c r="F32" s="119">
        <v>37.24</v>
      </c>
      <c r="G32" s="119">
        <v>10.5</v>
      </c>
      <c r="H32" s="120">
        <f t="shared" si="0"/>
        <v>53.230000000000004</v>
      </c>
      <c r="I32" s="120">
        <f>IF($A32="",0,SUMIF(Recetas!$B$5:$B$89,$A32,Recetas!$E$5:$E$89))</f>
        <v>14.245000000000001</v>
      </c>
      <c r="J32" s="120">
        <f t="shared" si="1"/>
        <v>38.984999999999999</v>
      </c>
      <c r="K32" s="121">
        <f t="shared" si="2"/>
        <v>210519</v>
      </c>
      <c r="L32" s="9">
        <f t="shared" si="3"/>
        <v>2.7367497367497364</v>
      </c>
      <c r="M32" s="121">
        <f t="shared" si="4"/>
        <v>287442</v>
      </c>
      <c r="N32" s="121">
        <f t="shared" si="5"/>
        <v>76923</v>
      </c>
    </row>
    <row r="33" spans="1:14" x14ac:dyDescent="0.3">
      <c r="A33" s="117" t="s">
        <v>219</v>
      </c>
      <c r="B33" s="117" t="s">
        <v>220</v>
      </c>
      <c r="C33" s="117" t="s">
        <v>162</v>
      </c>
      <c r="D33" s="118">
        <v>26000</v>
      </c>
      <c r="E33" s="119">
        <v>1.59</v>
      </c>
      <c r="F33" s="119">
        <v>3.45</v>
      </c>
      <c r="G33" s="119">
        <v>0.95</v>
      </c>
      <c r="H33" s="120">
        <f t="shared" si="0"/>
        <v>4.09</v>
      </c>
      <c r="I33" s="120">
        <f>IF($A33="",0,SUMIF(Recetas!$B$5:$B$89,$A33,Recetas!$E$5:$E$89))</f>
        <v>0.64800000000000002</v>
      </c>
      <c r="J33" s="120">
        <f t="shared" si="1"/>
        <v>3.4419999999999997</v>
      </c>
      <c r="K33" s="121">
        <f t="shared" si="2"/>
        <v>89492</v>
      </c>
      <c r="L33" s="9">
        <f t="shared" si="3"/>
        <v>5.3117283950617278</v>
      </c>
      <c r="M33" s="121">
        <f t="shared" si="4"/>
        <v>106340</v>
      </c>
      <c r="N33" s="121">
        <f t="shared" si="5"/>
        <v>16848</v>
      </c>
    </row>
    <row r="34" spans="1:14" x14ac:dyDescent="0.3">
      <c r="A34" s="117" t="s">
        <v>221</v>
      </c>
      <c r="B34" s="117" t="s">
        <v>222</v>
      </c>
      <c r="C34" s="117" t="s">
        <v>162</v>
      </c>
      <c r="D34" s="118">
        <v>3200</v>
      </c>
      <c r="E34" s="119">
        <v>9.17</v>
      </c>
      <c r="F34" s="119">
        <v>24.98</v>
      </c>
      <c r="G34" s="119">
        <v>7.3</v>
      </c>
      <c r="H34" s="120">
        <f t="shared" si="0"/>
        <v>26.849999999999998</v>
      </c>
      <c r="I34" s="120">
        <f>IF($A34="",0,SUMIF(Recetas!$B$5:$B$89,$A34,Recetas!$E$5:$E$89))</f>
        <v>3.8470000000000004</v>
      </c>
      <c r="J34" s="120">
        <f t="shared" si="1"/>
        <v>23.002999999999997</v>
      </c>
      <c r="K34" s="121">
        <f t="shared" si="2"/>
        <v>73609.599999999991</v>
      </c>
      <c r="L34" s="9">
        <f t="shared" si="3"/>
        <v>5.9794645178060808</v>
      </c>
      <c r="M34" s="121">
        <f t="shared" si="4"/>
        <v>85920</v>
      </c>
      <c r="N34" s="121">
        <f t="shared" si="5"/>
        <v>12310.400000000001</v>
      </c>
    </row>
    <row r="35" spans="1:14" x14ac:dyDescent="0.3">
      <c r="A35" s="122"/>
      <c r="B35" s="122"/>
      <c r="C35" s="122"/>
      <c r="D35" s="123"/>
      <c r="E35" s="122"/>
      <c r="F35" s="122"/>
      <c r="G35" s="122"/>
      <c r="H35" s="120">
        <f t="shared" si="0"/>
        <v>0</v>
      </c>
      <c r="I35" s="120">
        <f>IF($A35="",0,SUMIF(Recetas!$B$5:$B$89,$A35,Recetas!$E$5:$E$89))</f>
        <v>0</v>
      </c>
      <c r="J35" s="120">
        <f t="shared" si="1"/>
        <v>0</v>
      </c>
      <c r="K35" s="121">
        <f t="shared" si="2"/>
        <v>0</v>
      </c>
      <c r="L35" s="9" t="str">
        <f t="shared" si="3"/>
        <v/>
      </c>
      <c r="M35" s="121">
        <f t="shared" si="4"/>
        <v>0</v>
      </c>
      <c r="N35" s="121">
        <f t="shared" si="5"/>
        <v>0</v>
      </c>
    </row>
    <row r="36" spans="1:14" x14ac:dyDescent="0.3">
      <c r="A36" s="122"/>
      <c r="B36" s="122"/>
      <c r="C36" s="122"/>
      <c r="D36" s="123"/>
      <c r="E36" s="122"/>
      <c r="F36" s="122"/>
      <c r="G36" s="122"/>
      <c r="H36" s="120">
        <f t="shared" si="0"/>
        <v>0</v>
      </c>
      <c r="I36" s="120">
        <f>IF($A36="",0,SUMIF(Recetas!$B$5:$B$89,$A36,Recetas!$E$5:$E$89))</f>
        <v>0</v>
      </c>
      <c r="J36" s="120">
        <f t="shared" si="1"/>
        <v>0</v>
      </c>
      <c r="K36" s="121">
        <f t="shared" si="2"/>
        <v>0</v>
      </c>
      <c r="L36" s="9" t="str">
        <f t="shared" si="3"/>
        <v/>
      </c>
      <c r="M36" s="121">
        <f t="shared" si="4"/>
        <v>0</v>
      </c>
      <c r="N36" s="121">
        <f t="shared" si="5"/>
        <v>0</v>
      </c>
    </row>
    <row r="37" spans="1:14" x14ac:dyDescent="0.3">
      <c r="A37" s="122"/>
      <c r="B37" s="122"/>
      <c r="C37" s="122"/>
      <c r="D37" s="123"/>
      <c r="E37" s="122"/>
      <c r="F37" s="122"/>
      <c r="G37" s="122"/>
      <c r="H37" s="120">
        <f t="shared" ref="H37:H68" si="6">IF($A37="",0,$E37+$F37-$G37)</f>
        <v>0</v>
      </c>
      <c r="I37" s="120">
        <f>IF($A37="",0,SUMIF(Recetas!$B$5:$B$89,$A37,Recetas!$E$5:$E$89))</f>
        <v>0</v>
      </c>
      <c r="J37" s="120">
        <f t="shared" ref="J37:J68" si="7">IF($A37="",0,$H37-$I37)</f>
        <v>0</v>
      </c>
      <c r="K37" s="121">
        <f t="shared" ref="K37:K68" si="8">IF($A37="",0,$J37*$D37)</f>
        <v>0</v>
      </c>
      <c r="L37" s="9" t="str">
        <f t="shared" ref="L37:L68" si="9">IF($I37=0,"",$J37/$I37)</f>
        <v/>
      </c>
      <c r="M37" s="121">
        <f t="shared" ref="M37:M68" si="10">IF($A37="",0,$H37*$D37)</f>
        <v>0</v>
      </c>
      <c r="N37" s="121">
        <f t="shared" ref="N37:N68" si="11">IF($A37="",0,$I37*$D37)</f>
        <v>0</v>
      </c>
    </row>
    <row r="38" spans="1:14" x14ac:dyDescent="0.3">
      <c r="A38" s="122"/>
      <c r="B38" s="122"/>
      <c r="C38" s="122"/>
      <c r="D38" s="123"/>
      <c r="E38" s="122"/>
      <c r="F38" s="122"/>
      <c r="G38" s="122"/>
      <c r="H38" s="120">
        <f t="shared" si="6"/>
        <v>0</v>
      </c>
      <c r="I38" s="120">
        <f>IF($A38="",0,SUMIF(Recetas!$B$5:$B$89,$A38,Recetas!$E$5:$E$89))</f>
        <v>0</v>
      </c>
      <c r="J38" s="120">
        <f t="shared" si="7"/>
        <v>0</v>
      </c>
      <c r="K38" s="121">
        <f t="shared" si="8"/>
        <v>0</v>
      </c>
      <c r="L38" s="9" t="str">
        <f t="shared" si="9"/>
        <v/>
      </c>
      <c r="M38" s="121">
        <f t="shared" si="10"/>
        <v>0</v>
      </c>
      <c r="N38" s="121">
        <f t="shared" si="11"/>
        <v>0</v>
      </c>
    </row>
    <row r="39" spans="1:14" x14ac:dyDescent="0.3">
      <c r="A39" s="122"/>
      <c r="B39" s="122"/>
      <c r="C39" s="122"/>
      <c r="D39" s="123"/>
      <c r="E39" s="122"/>
      <c r="F39" s="122"/>
      <c r="G39" s="122"/>
      <c r="H39" s="120">
        <f t="shared" si="6"/>
        <v>0</v>
      </c>
      <c r="I39" s="120">
        <f>IF($A39="",0,SUMIF(Recetas!$B$5:$B$89,$A39,Recetas!$E$5:$E$89))</f>
        <v>0</v>
      </c>
      <c r="J39" s="120">
        <f t="shared" si="7"/>
        <v>0</v>
      </c>
      <c r="K39" s="121">
        <f t="shared" si="8"/>
        <v>0</v>
      </c>
      <c r="L39" s="9" t="str">
        <f t="shared" si="9"/>
        <v/>
      </c>
      <c r="M39" s="121">
        <f t="shared" si="10"/>
        <v>0</v>
      </c>
      <c r="N39" s="121">
        <f t="shared" si="11"/>
        <v>0</v>
      </c>
    </row>
    <row r="40" spans="1:14" x14ac:dyDescent="0.3">
      <c r="A40" s="122"/>
      <c r="B40" s="122"/>
      <c r="C40" s="122"/>
      <c r="D40" s="123"/>
      <c r="E40" s="122"/>
      <c r="F40" s="122"/>
      <c r="G40" s="122"/>
      <c r="H40" s="120">
        <f t="shared" si="6"/>
        <v>0</v>
      </c>
      <c r="I40" s="120">
        <f>IF($A40="",0,SUMIF(Recetas!$B$5:$B$89,$A40,Recetas!$E$5:$E$89))</f>
        <v>0</v>
      </c>
      <c r="J40" s="120">
        <f t="shared" si="7"/>
        <v>0</v>
      </c>
      <c r="K40" s="121">
        <f t="shared" si="8"/>
        <v>0</v>
      </c>
      <c r="L40" s="9" t="str">
        <f t="shared" si="9"/>
        <v/>
      </c>
      <c r="M40" s="121">
        <f t="shared" si="10"/>
        <v>0</v>
      </c>
      <c r="N40" s="121">
        <f t="shared" si="11"/>
        <v>0</v>
      </c>
    </row>
    <row r="41" spans="1:14" x14ac:dyDescent="0.3">
      <c r="A41" s="122"/>
      <c r="B41" s="122"/>
      <c r="C41" s="122"/>
      <c r="D41" s="123"/>
      <c r="E41" s="122"/>
      <c r="F41" s="122"/>
      <c r="G41" s="122"/>
      <c r="H41" s="120">
        <f t="shared" si="6"/>
        <v>0</v>
      </c>
      <c r="I41" s="120">
        <f>IF($A41="",0,SUMIF(Recetas!$B$5:$B$89,$A41,Recetas!$E$5:$E$89))</f>
        <v>0</v>
      </c>
      <c r="J41" s="120">
        <f t="shared" si="7"/>
        <v>0</v>
      </c>
      <c r="K41" s="121">
        <f t="shared" si="8"/>
        <v>0</v>
      </c>
      <c r="L41" s="9" t="str">
        <f t="shared" si="9"/>
        <v/>
      </c>
      <c r="M41" s="121">
        <f t="shared" si="10"/>
        <v>0</v>
      </c>
      <c r="N41" s="121">
        <f t="shared" si="11"/>
        <v>0</v>
      </c>
    </row>
    <row r="42" spans="1:14" x14ac:dyDescent="0.3">
      <c r="A42" s="122"/>
      <c r="B42" s="122"/>
      <c r="C42" s="122"/>
      <c r="D42" s="123"/>
      <c r="E42" s="122"/>
      <c r="F42" s="122"/>
      <c r="G42" s="122"/>
      <c r="H42" s="120">
        <f t="shared" si="6"/>
        <v>0</v>
      </c>
      <c r="I42" s="120">
        <f>IF($A42="",0,SUMIF(Recetas!$B$5:$B$89,$A42,Recetas!$E$5:$E$89))</f>
        <v>0</v>
      </c>
      <c r="J42" s="120">
        <f t="shared" si="7"/>
        <v>0</v>
      </c>
      <c r="K42" s="121">
        <f t="shared" si="8"/>
        <v>0</v>
      </c>
      <c r="L42" s="9" t="str">
        <f t="shared" si="9"/>
        <v/>
      </c>
      <c r="M42" s="121">
        <f t="shared" si="10"/>
        <v>0</v>
      </c>
      <c r="N42" s="121">
        <f t="shared" si="11"/>
        <v>0</v>
      </c>
    </row>
    <row r="43" spans="1:14" x14ac:dyDescent="0.3">
      <c r="A43" s="122"/>
      <c r="B43" s="122"/>
      <c r="C43" s="122"/>
      <c r="D43" s="123"/>
      <c r="E43" s="122"/>
      <c r="F43" s="122"/>
      <c r="G43" s="122"/>
      <c r="H43" s="120">
        <f t="shared" si="6"/>
        <v>0</v>
      </c>
      <c r="I43" s="120">
        <f>IF($A43="",0,SUMIF(Recetas!$B$5:$B$89,$A43,Recetas!$E$5:$E$89))</f>
        <v>0</v>
      </c>
      <c r="J43" s="120">
        <f t="shared" si="7"/>
        <v>0</v>
      </c>
      <c r="K43" s="121">
        <f t="shared" si="8"/>
        <v>0</v>
      </c>
      <c r="L43" s="9" t="str">
        <f t="shared" si="9"/>
        <v/>
      </c>
      <c r="M43" s="121">
        <f t="shared" si="10"/>
        <v>0</v>
      </c>
      <c r="N43" s="121">
        <f t="shared" si="11"/>
        <v>0</v>
      </c>
    </row>
    <row r="44" spans="1:14" x14ac:dyDescent="0.3">
      <c r="A44" s="122"/>
      <c r="B44" s="122"/>
      <c r="C44" s="122"/>
      <c r="D44" s="123"/>
      <c r="E44" s="122"/>
      <c r="F44" s="122"/>
      <c r="G44" s="122"/>
      <c r="H44" s="120">
        <f t="shared" si="6"/>
        <v>0</v>
      </c>
      <c r="I44" s="120">
        <f>IF($A44="",0,SUMIF(Recetas!$B$5:$B$89,$A44,Recetas!$E$5:$E$89))</f>
        <v>0</v>
      </c>
      <c r="J44" s="120">
        <f t="shared" si="7"/>
        <v>0</v>
      </c>
      <c r="K44" s="121">
        <f t="shared" si="8"/>
        <v>0</v>
      </c>
      <c r="L44" s="9" t="str">
        <f t="shared" si="9"/>
        <v/>
      </c>
      <c r="M44" s="121">
        <f t="shared" si="10"/>
        <v>0</v>
      </c>
      <c r="N44" s="121">
        <f t="shared" si="11"/>
        <v>0</v>
      </c>
    </row>
    <row r="45" spans="1:14" x14ac:dyDescent="0.3">
      <c r="A45" s="122"/>
      <c r="B45" s="122"/>
      <c r="C45" s="122"/>
      <c r="D45" s="123"/>
      <c r="E45" s="122"/>
      <c r="F45" s="122"/>
      <c r="G45" s="122"/>
      <c r="H45" s="120">
        <f t="shared" si="6"/>
        <v>0</v>
      </c>
      <c r="I45" s="120">
        <f>IF($A45="",0,SUMIF(Recetas!$B$5:$B$89,$A45,Recetas!$E$5:$E$89))</f>
        <v>0</v>
      </c>
      <c r="J45" s="120">
        <f t="shared" si="7"/>
        <v>0</v>
      </c>
      <c r="K45" s="121">
        <f t="shared" si="8"/>
        <v>0</v>
      </c>
      <c r="L45" s="9" t="str">
        <f t="shared" si="9"/>
        <v/>
      </c>
      <c r="M45" s="121">
        <f t="shared" si="10"/>
        <v>0</v>
      </c>
      <c r="N45" s="121">
        <f t="shared" si="11"/>
        <v>0</v>
      </c>
    </row>
    <row r="46" spans="1:14" x14ac:dyDescent="0.3">
      <c r="A46" s="122"/>
      <c r="B46" s="122"/>
      <c r="C46" s="122"/>
      <c r="D46" s="123"/>
      <c r="E46" s="122"/>
      <c r="F46" s="122"/>
      <c r="G46" s="122"/>
      <c r="H46" s="120">
        <f t="shared" si="6"/>
        <v>0</v>
      </c>
      <c r="I46" s="120">
        <f>IF($A46="",0,SUMIF(Recetas!$B$5:$B$89,$A46,Recetas!$E$5:$E$89))</f>
        <v>0</v>
      </c>
      <c r="J46" s="120">
        <f t="shared" si="7"/>
        <v>0</v>
      </c>
      <c r="K46" s="121">
        <f t="shared" si="8"/>
        <v>0</v>
      </c>
      <c r="L46" s="9" t="str">
        <f t="shared" si="9"/>
        <v/>
      </c>
      <c r="M46" s="121">
        <f t="shared" si="10"/>
        <v>0</v>
      </c>
      <c r="N46" s="121">
        <f t="shared" si="11"/>
        <v>0</v>
      </c>
    </row>
    <row r="47" spans="1:14" x14ac:dyDescent="0.3">
      <c r="A47" s="122"/>
      <c r="B47" s="122"/>
      <c r="C47" s="122"/>
      <c r="D47" s="123"/>
      <c r="E47" s="122"/>
      <c r="F47" s="122"/>
      <c r="G47" s="122"/>
      <c r="H47" s="120">
        <f t="shared" si="6"/>
        <v>0</v>
      </c>
      <c r="I47" s="120">
        <f>IF($A47="",0,SUMIF(Recetas!$B$5:$B$89,$A47,Recetas!$E$5:$E$89))</f>
        <v>0</v>
      </c>
      <c r="J47" s="120">
        <f t="shared" si="7"/>
        <v>0</v>
      </c>
      <c r="K47" s="121">
        <f t="shared" si="8"/>
        <v>0</v>
      </c>
      <c r="L47" s="9" t="str">
        <f t="shared" si="9"/>
        <v/>
      </c>
      <c r="M47" s="121">
        <f t="shared" si="10"/>
        <v>0</v>
      </c>
      <c r="N47" s="121">
        <f t="shared" si="11"/>
        <v>0</v>
      </c>
    </row>
    <row r="48" spans="1:14" x14ac:dyDescent="0.3">
      <c r="A48" s="122"/>
      <c r="B48" s="122"/>
      <c r="C48" s="122"/>
      <c r="D48" s="123"/>
      <c r="E48" s="122"/>
      <c r="F48" s="122"/>
      <c r="G48" s="122"/>
      <c r="H48" s="120">
        <f t="shared" si="6"/>
        <v>0</v>
      </c>
      <c r="I48" s="120">
        <f>IF($A48="",0,SUMIF(Recetas!$B$5:$B$89,$A48,Recetas!$E$5:$E$89))</f>
        <v>0</v>
      </c>
      <c r="J48" s="120">
        <f t="shared" si="7"/>
        <v>0</v>
      </c>
      <c r="K48" s="121">
        <f t="shared" si="8"/>
        <v>0</v>
      </c>
      <c r="L48" s="9" t="str">
        <f t="shared" si="9"/>
        <v/>
      </c>
      <c r="M48" s="121">
        <f t="shared" si="10"/>
        <v>0</v>
      </c>
      <c r="N48" s="121">
        <f t="shared" si="11"/>
        <v>0</v>
      </c>
    </row>
    <row r="49" spans="1:14" x14ac:dyDescent="0.3">
      <c r="A49" s="122"/>
      <c r="B49" s="122"/>
      <c r="C49" s="122"/>
      <c r="D49" s="123"/>
      <c r="E49" s="122"/>
      <c r="F49" s="122"/>
      <c r="G49" s="122"/>
      <c r="H49" s="120">
        <f t="shared" si="6"/>
        <v>0</v>
      </c>
      <c r="I49" s="120">
        <f>IF($A49="",0,SUMIF(Recetas!$B$5:$B$89,$A49,Recetas!$E$5:$E$89))</f>
        <v>0</v>
      </c>
      <c r="J49" s="120">
        <f t="shared" si="7"/>
        <v>0</v>
      </c>
      <c r="K49" s="121">
        <f t="shared" si="8"/>
        <v>0</v>
      </c>
      <c r="L49" s="9" t="str">
        <f t="shared" si="9"/>
        <v/>
      </c>
      <c r="M49" s="121">
        <f t="shared" si="10"/>
        <v>0</v>
      </c>
      <c r="N49" s="121">
        <f t="shared" si="11"/>
        <v>0</v>
      </c>
    </row>
    <row r="50" spans="1:14" x14ac:dyDescent="0.3">
      <c r="A50" s="122"/>
      <c r="B50" s="122"/>
      <c r="C50" s="122"/>
      <c r="D50" s="123"/>
      <c r="E50" s="122"/>
      <c r="F50" s="122"/>
      <c r="G50" s="122"/>
      <c r="H50" s="120">
        <f t="shared" si="6"/>
        <v>0</v>
      </c>
      <c r="I50" s="120">
        <f>IF($A50="",0,SUMIF(Recetas!$B$5:$B$89,$A50,Recetas!$E$5:$E$89))</f>
        <v>0</v>
      </c>
      <c r="J50" s="120">
        <f t="shared" si="7"/>
        <v>0</v>
      </c>
      <c r="K50" s="121">
        <f t="shared" si="8"/>
        <v>0</v>
      </c>
      <c r="L50" s="9" t="str">
        <f t="shared" si="9"/>
        <v/>
      </c>
      <c r="M50" s="121">
        <f t="shared" si="10"/>
        <v>0</v>
      </c>
      <c r="N50" s="121">
        <f t="shared" si="11"/>
        <v>0</v>
      </c>
    </row>
    <row r="51" spans="1:14" x14ac:dyDescent="0.3">
      <c r="A51" s="122"/>
      <c r="B51" s="122"/>
      <c r="C51" s="122"/>
      <c r="D51" s="123"/>
      <c r="E51" s="122"/>
      <c r="F51" s="122"/>
      <c r="G51" s="122"/>
      <c r="H51" s="120">
        <f t="shared" si="6"/>
        <v>0</v>
      </c>
      <c r="I51" s="120">
        <f>IF($A51="",0,SUMIF(Recetas!$B$5:$B$89,$A51,Recetas!$E$5:$E$89))</f>
        <v>0</v>
      </c>
      <c r="J51" s="120">
        <f t="shared" si="7"/>
        <v>0</v>
      </c>
      <c r="K51" s="121">
        <f t="shared" si="8"/>
        <v>0</v>
      </c>
      <c r="L51" s="9" t="str">
        <f t="shared" si="9"/>
        <v/>
      </c>
      <c r="M51" s="121">
        <f t="shared" si="10"/>
        <v>0</v>
      </c>
      <c r="N51" s="121">
        <f t="shared" si="11"/>
        <v>0</v>
      </c>
    </row>
    <row r="52" spans="1:14" x14ac:dyDescent="0.3">
      <c r="A52" s="122"/>
      <c r="B52" s="122"/>
      <c r="C52" s="122"/>
      <c r="D52" s="123"/>
      <c r="E52" s="122"/>
      <c r="F52" s="122"/>
      <c r="G52" s="122"/>
      <c r="H52" s="120">
        <f t="shared" si="6"/>
        <v>0</v>
      </c>
      <c r="I52" s="120">
        <f>IF($A52="",0,SUMIF(Recetas!$B$5:$B$89,$A52,Recetas!$E$5:$E$89))</f>
        <v>0</v>
      </c>
      <c r="J52" s="120">
        <f t="shared" si="7"/>
        <v>0</v>
      </c>
      <c r="K52" s="121">
        <f t="shared" si="8"/>
        <v>0</v>
      </c>
      <c r="L52" s="9" t="str">
        <f t="shared" si="9"/>
        <v/>
      </c>
      <c r="M52" s="121">
        <f t="shared" si="10"/>
        <v>0</v>
      </c>
      <c r="N52" s="121">
        <f t="shared" si="11"/>
        <v>0</v>
      </c>
    </row>
    <row r="53" spans="1:14" x14ac:dyDescent="0.3">
      <c r="A53" s="122"/>
      <c r="B53" s="122"/>
      <c r="C53" s="122"/>
      <c r="D53" s="123"/>
      <c r="E53" s="122"/>
      <c r="F53" s="122"/>
      <c r="G53" s="122"/>
      <c r="H53" s="120">
        <f t="shared" si="6"/>
        <v>0</v>
      </c>
      <c r="I53" s="120">
        <f>IF($A53="",0,SUMIF(Recetas!$B$5:$B$89,$A53,Recetas!$E$5:$E$89))</f>
        <v>0</v>
      </c>
      <c r="J53" s="120">
        <f t="shared" si="7"/>
        <v>0</v>
      </c>
      <c r="K53" s="121">
        <f t="shared" si="8"/>
        <v>0</v>
      </c>
      <c r="L53" s="9" t="str">
        <f t="shared" si="9"/>
        <v/>
      </c>
      <c r="M53" s="121">
        <f t="shared" si="10"/>
        <v>0</v>
      </c>
      <c r="N53" s="121">
        <f t="shared" si="11"/>
        <v>0</v>
      </c>
    </row>
    <row r="54" spans="1:14" x14ac:dyDescent="0.3">
      <c r="A54" s="122"/>
      <c r="B54" s="122"/>
      <c r="C54" s="122"/>
      <c r="D54" s="123"/>
      <c r="E54" s="122"/>
      <c r="F54" s="122"/>
      <c r="G54" s="122"/>
      <c r="H54" s="120">
        <f t="shared" si="6"/>
        <v>0</v>
      </c>
      <c r="I54" s="120">
        <f>IF($A54="",0,SUMIF(Recetas!$B$5:$B$89,$A54,Recetas!$E$5:$E$89))</f>
        <v>0</v>
      </c>
      <c r="J54" s="120">
        <f t="shared" si="7"/>
        <v>0</v>
      </c>
      <c r="K54" s="121">
        <f t="shared" si="8"/>
        <v>0</v>
      </c>
      <c r="L54" s="9" t="str">
        <f t="shared" si="9"/>
        <v/>
      </c>
      <c r="M54" s="121">
        <f t="shared" si="10"/>
        <v>0</v>
      </c>
      <c r="N54" s="121">
        <f t="shared" si="11"/>
        <v>0</v>
      </c>
    </row>
    <row r="55" spans="1:14" x14ac:dyDescent="0.3">
      <c r="A55" s="122"/>
      <c r="B55" s="122"/>
      <c r="C55" s="122"/>
      <c r="D55" s="123"/>
      <c r="E55" s="122"/>
      <c r="F55" s="122"/>
      <c r="G55" s="122"/>
      <c r="H55" s="120">
        <f t="shared" si="6"/>
        <v>0</v>
      </c>
      <c r="I55" s="120">
        <f>IF($A55="",0,SUMIF(Recetas!$B$5:$B$89,$A55,Recetas!$E$5:$E$89))</f>
        <v>0</v>
      </c>
      <c r="J55" s="120">
        <f t="shared" si="7"/>
        <v>0</v>
      </c>
      <c r="K55" s="121">
        <f t="shared" si="8"/>
        <v>0</v>
      </c>
      <c r="L55" s="9" t="str">
        <f t="shared" si="9"/>
        <v/>
      </c>
      <c r="M55" s="121">
        <f t="shared" si="10"/>
        <v>0</v>
      </c>
      <c r="N55" s="121">
        <f t="shared" si="11"/>
        <v>0</v>
      </c>
    </row>
    <row r="56" spans="1:14" x14ac:dyDescent="0.3">
      <c r="A56" s="122"/>
      <c r="B56" s="122"/>
      <c r="C56" s="122"/>
      <c r="D56" s="123"/>
      <c r="E56" s="122"/>
      <c r="F56" s="122"/>
      <c r="G56" s="122"/>
      <c r="H56" s="120">
        <f t="shared" si="6"/>
        <v>0</v>
      </c>
      <c r="I56" s="120">
        <f>IF($A56="",0,SUMIF(Recetas!$B$5:$B$89,$A56,Recetas!$E$5:$E$89))</f>
        <v>0</v>
      </c>
      <c r="J56" s="120">
        <f t="shared" si="7"/>
        <v>0</v>
      </c>
      <c r="K56" s="121">
        <f t="shared" si="8"/>
        <v>0</v>
      </c>
      <c r="L56" s="9" t="str">
        <f t="shared" si="9"/>
        <v/>
      </c>
      <c r="M56" s="121">
        <f t="shared" si="10"/>
        <v>0</v>
      </c>
      <c r="N56" s="121">
        <f t="shared" si="11"/>
        <v>0</v>
      </c>
    </row>
    <row r="57" spans="1:14" x14ac:dyDescent="0.3">
      <c r="A57" s="122"/>
      <c r="B57" s="122"/>
      <c r="C57" s="122"/>
      <c r="D57" s="123"/>
      <c r="E57" s="122"/>
      <c r="F57" s="122"/>
      <c r="G57" s="122"/>
      <c r="H57" s="120">
        <f t="shared" si="6"/>
        <v>0</v>
      </c>
      <c r="I57" s="120">
        <f>IF($A57="",0,SUMIF(Recetas!$B$5:$B$89,$A57,Recetas!$E$5:$E$89))</f>
        <v>0</v>
      </c>
      <c r="J57" s="120">
        <f t="shared" si="7"/>
        <v>0</v>
      </c>
      <c r="K57" s="121">
        <f t="shared" si="8"/>
        <v>0</v>
      </c>
      <c r="L57" s="9" t="str">
        <f t="shared" si="9"/>
        <v/>
      </c>
      <c r="M57" s="121">
        <f t="shared" si="10"/>
        <v>0</v>
      </c>
      <c r="N57" s="121">
        <f t="shared" si="11"/>
        <v>0</v>
      </c>
    </row>
    <row r="58" spans="1:14" x14ac:dyDescent="0.3">
      <c r="A58" s="122"/>
      <c r="B58" s="122"/>
      <c r="C58" s="122"/>
      <c r="D58" s="123"/>
      <c r="E58" s="122"/>
      <c r="F58" s="122"/>
      <c r="G58" s="122"/>
      <c r="H58" s="120">
        <f t="shared" si="6"/>
        <v>0</v>
      </c>
      <c r="I58" s="120">
        <f>IF($A58="",0,SUMIF(Recetas!$B$5:$B$89,$A58,Recetas!$E$5:$E$89))</f>
        <v>0</v>
      </c>
      <c r="J58" s="120">
        <f t="shared" si="7"/>
        <v>0</v>
      </c>
      <c r="K58" s="121">
        <f t="shared" si="8"/>
        <v>0</v>
      </c>
      <c r="L58" s="9" t="str">
        <f t="shared" si="9"/>
        <v/>
      </c>
      <c r="M58" s="121">
        <f t="shared" si="10"/>
        <v>0</v>
      </c>
      <c r="N58" s="121">
        <f t="shared" si="11"/>
        <v>0</v>
      </c>
    </row>
    <row r="59" spans="1:14" x14ac:dyDescent="0.3">
      <c r="A59" s="122"/>
      <c r="B59" s="122"/>
      <c r="C59" s="122"/>
      <c r="D59" s="123"/>
      <c r="E59" s="122"/>
      <c r="F59" s="122"/>
      <c r="G59" s="122"/>
      <c r="H59" s="120">
        <f t="shared" si="6"/>
        <v>0</v>
      </c>
      <c r="I59" s="120">
        <f>IF($A59="",0,SUMIF(Recetas!$B$5:$B$89,$A59,Recetas!$E$5:$E$89))</f>
        <v>0</v>
      </c>
      <c r="J59" s="120">
        <f t="shared" si="7"/>
        <v>0</v>
      </c>
      <c r="K59" s="121">
        <f t="shared" si="8"/>
        <v>0</v>
      </c>
      <c r="L59" s="9" t="str">
        <f t="shared" si="9"/>
        <v/>
      </c>
      <c r="M59" s="121">
        <f t="shared" si="10"/>
        <v>0</v>
      </c>
      <c r="N59" s="121">
        <f t="shared" si="11"/>
        <v>0</v>
      </c>
    </row>
    <row r="60" spans="1:14" x14ac:dyDescent="0.3">
      <c r="A60" s="122"/>
      <c r="B60" s="122"/>
      <c r="C60" s="122"/>
      <c r="D60" s="123"/>
      <c r="E60" s="122"/>
      <c r="F60" s="122"/>
      <c r="G60" s="122"/>
      <c r="H60" s="120">
        <f t="shared" si="6"/>
        <v>0</v>
      </c>
      <c r="I60" s="120">
        <f>IF($A60="",0,SUMIF(Recetas!$B$5:$B$89,$A60,Recetas!$E$5:$E$89))</f>
        <v>0</v>
      </c>
      <c r="J60" s="120">
        <f t="shared" si="7"/>
        <v>0</v>
      </c>
      <c r="K60" s="121">
        <f t="shared" si="8"/>
        <v>0</v>
      </c>
      <c r="L60" s="9" t="str">
        <f t="shared" si="9"/>
        <v/>
      </c>
      <c r="M60" s="121">
        <f t="shared" si="10"/>
        <v>0</v>
      </c>
      <c r="N60" s="121">
        <f t="shared" si="11"/>
        <v>0</v>
      </c>
    </row>
    <row r="61" spans="1:14" x14ac:dyDescent="0.3">
      <c r="A61" s="122"/>
      <c r="B61" s="122"/>
      <c r="C61" s="122"/>
      <c r="D61" s="123"/>
      <c r="E61" s="122"/>
      <c r="F61" s="122"/>
      <c r="G61" s="122"/>
      <c r="H61" s="120">
        <f t="shared" si="6"/>
        <v>0</v>
      </c>
      <c r="I61" s="120">
        <f>IF($A61="",0,SUMIF(Recetas!$B$5:$B$89,$A61,Recetas!$E$5:$E$89))</f>
        <v>0</v>
      </c>
      <c r="J61" s="120">
        <f t="shared" si="7"/>
        <v>0</v>
      </c>
      <c r="K61" s="121">
        <f t="shared" si="8"/>
        <v>0</v>
      </c>
      <c r="L61" s="9" t="str">
        <f t="shared" si="9"/>
        <v/>
      </c>
      <c r="M61" s="121">
        <f t="shared" si="10"/>
        <v>0</v>
      </c>
      <c r="N61" s="121">
        <f t="shared" si="11"/>
        <v>0</v>
      </c>
    </row>
    <row r="62" spans="1:14" x14ac:dyDescent="0.3">
      <c r="A62" s="122"/>
      <c r="B62" s="122"/>
      <c r="C62" s="122"/>
      <c r="D62" s="123"/>
      <c r="E62" s="122"/>
      <c r="F62" s="122"/>
      <c r="G62" s="122"/>
      <c r="H62" s="120">
        <f t="shared" si="6"/>
        <v>0</v>
      </c>
      <c r="I62" s="120">
        <f>IF($A62="",0,SUMIF(Recetas!$B$5:$B$89,$A62,Recetas!$E$5:$E$89))</f>
        <v>0</v>
      </c>
      <c r="J62" s="120">
        <f t="shared" si="7"/>
        <v>0</v>
      </c>
      <c r="K62" s="121">
        <f t="shared" si="8"/>
        <v>0</v>
      </c>
      <c r="L62" s="9" t="str">
        <f t="shared" si="9"/>
        <v/>
      </c>
      <c r="M62" s="121">
        <f t="shared" si="10"/>
        <v>0</v>
      </c>
      <c r="N62" s="121">
        <f t="shared" si="11"/>
        <v>0</v>
      </c>
    </row>
    <row r="63" spans="1:14" x14ac:dyDescent="0.3">
      <c r="A63" s="122"/>
      <c r="B63" s="122"/>
      <c r="C63" s="122"/>
      <c r="D63" s="123"/>
      <c r="E63" s="122"/>
      <c r="F63" s="122"/>
      <c r="G63" s="122"/>
      <c r="H63" s="120">
        <f t="shared" si="6"/>
        <v>0</v>
      </c>
      <c r="I63" s="120">
        <f>IF($A63="",0,SUMIF(Recetas!$B$5:$B$89,$A63,Recetas!$E$5:$E$89))</f>
        <v>0</v>
      </c>
      <c r="J63" s="120">
        <f t="shared" si="7"/>
        <v>0</v>
      </c>
      <c r="K63" s="121">
        <f t="shared" si="8"/>
        <v>0</v>
      </c>
      <c r="L63" s="9" t="str">
        <f t="shared" si="9"/>
        <v/>
      </c>
      <c r="M63" s="121">
        <f t="shared" si="10"/>
        <v>0</v>
      </c>
      <c r="N63" s="121">
        <f t="shared" si="11"/>
        <v>0</v>
      </c>
    </row>
    <row r="64" spans="1:14" x14ac:dyDescent="0.3">
      <c r="A64" s="122"/>
      <c r="B64" s="122"/>
      <c r="C64" s="122"/>
      <c r="D64" s="123"/>
      <c r="E64" s="122"/>
      <c r="F64" s="122"/>
      <c r="G64" s="122"/>
      <c r="H64" s="120">
        <f t="shared" si="6"/>
        <v>0</v>
      </c>
      <c r="I64" s="120">
        <f>IF($A64="",0,SUMIF(Recetas!$B$5:$B$89,$A64,Recetas!$E$5:$E$89))</f>
        <v>0</v>
      </c>
      <c r="J64" s="120">
        <f t="shared" si="7"/>
        <v>0</v>
      </c>
      <c r="K64" s="121">
        <f t="shared" si="8"/>
        <v>0</v>
      </c>
      <c r="L64" s="9" t="str">
        <f t="shared" si="9"/>
        <v/>
      </c>
      <c r="M64" s="121">
        <f t="shared" si="10"/>
        <v>0</v>
      </c>
      <c r="N64" s="121">
        <f t="shared" si="11"/>
        <v>0</v>
      </c>
    </row>
    <row r="65" spans="1:14" x14ac:dyDescent="0.3">
      <c r="A65" s="122"/>
      <c r="B65" s="122"/>
      <c r="C65" s="122"/>
      <c r="D65" s="123"/>
      <c r="E65" s="122"/>
      <c r="F65" s="122"/>
      <c r="G65" s="122"/>
      <c r="H65" s="120">
        <f t="shared" si="6"/>
        <v>0</v>
      </c>
      <c r="I65" s="120">
        <f>IF($A65="",0,SUMIF(Recetas!$B$5:$B$89,$A65,Recetas!$E$5:$E$89))</f>
        <v>0</v>
      </c>
      <c r="J65" s="120">
        <f t="shared" si="7"/>
        <v>0</v>
      </c>
      <c r="K65" s="121">
        <f t="shared" si="8"/>
        <v>0</v>
      </c>
      <c r="L65" s="9" t="str">
        <f t="shared" si="9"/>
        <v/>
      </c>
      <c r="M65" s="121">
        <f t="shared" si="10"/>
        <v>0</v>
      </c>
      <c r="N65" s="121">
        <f t="shared" si="11"/>
        <v>0</v>
      </c>
    </row>
    <row r="66" spans="1:14" x14ac:dyDescent="0.3">
      <c r="A66" s="122"/>
      <c r="B66" s="122"/>
      <c r="C66" s="122"/>
      <c r="D66" s="123"/>
      <c r="E66" s="122"/>
      <c r="F66" s="122"/>
      <c r="G66" s="122"/>
      <c r="H66" s="120">
        <f t="shared" si="6"/>
        <v>0</v>
      </c>
      <c r="I66" s="120">
        <f>IF($A66="",0,SUMIF(Recetas!$B$5:$B$89,$A66,Recetas!$E$5:$E$89))</f>
        <v>0</v>
      </c>
      <c r="J66" s="120">
        <f t="shared" si="7"/>
        <v>0</v>
      </c>
      <c r="K66" s="121">
        <f t="shared" si="8"/>
        <v>0</v>
      </c>
      <c r="L66" s="9" t="str">
        <f t="shared" si="9"/>
        <v/>
      </c>
      <c r="M66" s="121">
        <f t="shared" si="10"/>
        <v>0</v>
      </c>
      <c r="N66" s="121">
        <f t="shared" si="11"/>
        <v>0</v>
      </c>
    </row>
    <row r="67" spans="1:14" x14ac:dyDescent="0.3">
      <c r="A67" s="122"/>
      <c r="B67" s="122"/>
      <c r="C67" s="122"/>
      <c r="D67" s="123"/>
      <c r="E67" s="122"/>
      <c r="F67" s="122"/>
      <c r="G67" s="122"/>
      <c r="H67" s="120">
        <f t="shared" si="6"/>
        <v>0</v>
      </c>
      <c r="I67" s="120">
        <f>IF($A67="",0,SUMIF(Recetas!$B$5:$B$89,$A67,Recetas!$E$5:$E$89))</f>
        <v>0</v>
      </c>
      <c r="J67" s="120">
        <f t="shared" si="7"/>
        <v>0</v>
      </c>
      <c r="K67" s="121">
        <f t="shared" si="8"/>
        <v>0</v>
      </c>
      <c r="L67" s="9" t="str">
        <f t="shared" si="9"/>
        <v/>
      </c>
      <c r="M67" s="121">
        <f t="shared" si="10"/>
        <v>0</v>
      </c>
      <c r="N67" s="121">
        <f t="shared" si="11"/>
        <v>0</v>
      </c>
    </row>
    <row r="68" spans="1:14" x14ac:dyDescent="0.3">
      <c r="A68" s="122"/>
      <c r="B68" s="122"/>
      <c r="C68" s="122"/>
      <c r="D68" s="123"/>
      <c r="E68" s="122"/>
      <c r="F68" s="122"/>
      <c r="G68" s="122"/>
      <c r="H68" s="120">
        <f t="shared" si="6"/>
        <v>0</v>
      </c>
      <c r="I68" s="120">
        <f>IF($A68="",0,SUMIF(Recetas!$B$5:$B$89,$A68,Recetas!$E$5:$E$89))</f>
        <v>0</v>
      </c>
      <c r="J68" s="120">
        <f t="shared" si="7"/>
        <v>0</v>
      </c>
      <c r="K68" s="121">
        <f t="shared" si="8"/>
        <v>0</v>
      </c>
      <c r="L68" s="9" t="str">
        <f t="shared" si="9"/>
        <v/>
      </c>
      <c r="M68" s="121">
        <f t="shared" si="10"/>
        <v>0</v>
      </c>
      <c r="N68" s="121">
        <f t="shared" si="11"/>
        <v>0</v>
      </c>
    </row>
    <row r="69" spans="1:14" x14ac:dyDescent="0.3">
      <c r="A69" s="122"/>
      <c r="B69" s="122"/>
      <c r="C69" s="122"/>
      <c r="D69" s="123"/>
      <c r="E69" s="122"/>
      <c r="F69" s="122"/>
      <c r="G69" s="122"/>
      <c r="H69" s="120">
        <f t="shared" ref="H69:H100" si="12">IF($A69="",0,$E69+$F69-$G69)</f>
        <v>0</v>
      </c>
      <c r="I69" s="120">
        <f>IF($A69="",0,SUMIF(Recetas!$B$5:$B$89,$A69,Recetas!$E$5:$E$89))</f>
        <v>0</v>
      </c>
      <c r="J69" s="120">
        <f t="shared" ref="J69:J100" si="13">IF($A69="",0,$H69-$I69)</f>
        <v>0</v>
      </c>
      <c r="K69" s="121">
        <f t="shared" ref="K69:K100" si="14">IF($A69="",0,$J69*$D69)</f>
        <v>0</v>
      </c>
      <c r="L69" s="9" t="str">
        <f t="shared" ref="L69:L100" si="15">IF($I69=0,"",$J69/$I69)</f>
        <v/>
      </c>
      <c r="M69" s="121">
        <f t="shared" ref="M69:M100" si="16">IF($A69="",0,$H69*$D69)</f>
        <v>0</v>
      </c>
      <c r="N69" s="121">
        <f t="shared" ref="N69:N100" si="17">IF($A69="",0,$I69*$D69)</f>
        <v>0</v>
      </c>
    </row>
    <row r="70" spans="1:14" x14ac:dyDescent="0.3">
      <c r="A70" s="122"/>
      <c r="B70" s="122"/>
      <c r="C70" s="122"/>
      <c r="D70" s="123"/>
      <c r="E70" s="122"/>
      <c r="F70" s="122"/>
      <c r="G70" s="122"/>
      <c r="H70" s="120">
        <f t="shared" si="12"/>
        <v>0</v>
      </c>
      <c r="I70" s="120">
        <f>IF($A70="",0,SUMIF(Recetas!$B$5:$B$89,$A70,Recetas!$E$5:$E$89))</f>
        <v>0</v>
      </c>
      <c r="J70" s="120">
        <f t="shared" si="13"/>
        <v>0</v>
      </c>
      <c r="K70" s="121">
        <f t="shared" si="14"/>
        <v>0</v>
      </c>
      <c r="L70" s="9" t="str">
        <f t="shared" si="15"/>
        <v/>
      </c>
      <c r="M70" s="121">
        <f t="shared" si="16"/>
        <v>0</v>
      </c>
      <c r="N70" s="121">
        <f t="shared" si="17"/>
        <v>0</v>
      </c>
    </row>
    <row r="71" spans="1:14" x14ac:dyDescent="0.3">
      <c r="A71" s="122"/>
      <c r="B71" s="122"/>
      <c r="C71" s="122"/>
      <c r="D71" s="123"/>
      <c r="E71" s="122"/>
      <c r="F71" s="122"/>
      <c r="G71" s="122"/>
      <c r="H71" s="120">
        <f t="shared" si="12"/>
        <v>0</v>
      </c>
      <c r="I71" s="120">
        <f>IF($A71="",0,SUMIF(Recetas!$B$5:$B$89,$A71,Recetas!$E$5:$E$89))</f>
        <v>0</v>
      </c>
      <c r="J71" s="120">
        <f t="shared" si="13"/>
        <v>0</v>
      </c>
      <c r="K71" s="121">
        <f t="shared" si="14"/>
        <v>0</v>
      </c>
      <c r="L71" s="9" t="str">
        <f t="shared" si="15"/>
        <v/>
      </c>
      <c r="M71" s="121">
        <f t="shared" si="16"/>
        <v>0</v>
      </c>
      <c r="N71" s="121">
        <f t="shared" si="17"/>
        <v>0</v>
      </c>
    </row>
    <row r="72" spans="1:14" x14ac:dyDescent="0.3">
      <c r="A72" s="122"/>
      <c r="B72" s="122"/>
      <c r="C72" s="122"/>
      <c r="D72" s="123"/>
      <c r="E72" s="122"/>
      <c r="F72" s="122"/>
      <c r="G72" s="122"/>
      <c r="H72" s="120">
        <f t="shared" si="12"/>
        <v>0</v>
      </c>
      <c r="I72" s="120">
        <f>IF($A72="",0,SUMIF(Recetas!$B$5:$B$89,$A72,Recetas!$E$5:$E$89))</f>
        <v>0</v>
      </c>
      <c r="J72" s="120">
        <f t="shared" si="13"/>
        <v>0</v>
      </c>
      <c r="K72" s="121">
        <f t="shared" si="14"/>
        <v>0</v>
      </c>
      <c r="L72" s="9" t="str">
        <f t="shared" si="15"/>
        <v/>
      </c>
      <c r="M72" s="121">
        <f t="shared" si="16"/>
        <v>0</v>
      </c>
      <c r="N72" s="121">
        <f t="shared" si="17"/>
        <v>0</v>
      </c>
    </row>
    <row r="73" spans="1:14" x14ac:dyDescent="0.3">
      <c r="A73" s="122"/>
      <c r="B73" s="122"/>
      <c r="C73" s="122"/>
      <c r="D73" s="123"/>
      <c r="E73" s="122"/>
      <c r="F73" s="122"/>
      <c r="G73" s="122"/>
      <c r="H73" s="120">
        <f t="shared" si="12"/>
        <v>0</v>
      </c>
      <c r="I73" s="120">
        <f>IF($A73="",0,SUMIF(Recetas!$B$5:$B$89,$A73,Recetas!$E$5:$E$89))</f>
        <v>0</v>
      </c>
      <c r="J73" s="120">
        <f t="shared" si="13"/>
        <v>0</v>
      </c>
      <c r="K73" s="121">
        <f t="shared" si="14"/>
        <v>0</v>
      </c>
      <c r="L73" s="9" t="str">
        <f t="shared" si="15"/>
        <v/>
      </c>
      <c r="M73" s="121">
        <f t="shared" si="16"/>
        <v>0</v>
      </c>
      <c r="N73" s="121">
        <f t="shared" si="17"/>
        <v>0</v>
      </c>
    </row>
    <row r="74" spans="1:14" x14ac:dyDescent="0.3">
      <c r="A74" s="122"/>
      <c r="B74" s="122"/>
      <c r="C74" s="122"/>
      <c r="D74" s="123"/>
      <c r="E74" s="122"/>
      <c r="F74" s="122"/>
      <c r="G74" s="122"/>
      <c r="H74" s="120">
        <f t="shared" si="12"/>
        <v>0</v>
      </c>
      <c r="I74" s="120">
        <f>IF($A74="",0,SUMIF(Recetas!$B$5:$B$89,$A74,Recetas!$E$5:$E$89))</f>
        <v>0</v>
      </c>
      <c r="J74" s="120">
        <f t="shared" si="13"/>
        <v>0</v>
      </c>
      <c r="K74" s="121">
        <f t="shared" si="14"/>
        <v>0</v>
      </c>
      <c r="L74" s="9" t="str">
        <f t="shared" si="15"/>
        <v/>
      </c>
      <c r="M74" s="121">
        <f t="shared" si="16"/>
        <v>0</v>
      </c>
      <c r="N74" s="121">
        <f t="shared" si="17"/>
        <v>0</v>
      </c>
    </row>
    <row r="75" spans="1:14" x14ac:dyDescent="0.3">
      <c r="A75" s="122"/>
      <c r="B75" s="122"/>
      <c r="C75" s="122"/>
      <c r="D75" s="123"/>
      <c r="E75" s="122"/>
      <c r="F75" s="122"/>
      <c r="G75" s="122"/>
      <c r="H75" s="120">
        <f t="shared" si="12"/>
        <v>0</v>
      </c>
      <c r="I75" s="120">
        <f>IF($A75="",0,SUMIF(Recetas!$B$5:$B$89,$A75,Recetas!$E$5:$E$89))</f>
        <v>0</v>
      </c>
      <c r="J75" s="120">
        <f t="shared" si="13"/>
        <v>0</v>
      </c>
      <c r="K75" s="121">
        <f t="shared" si="14"/>
        <v>0</v>
      </c>
      <c r="L75" s="9" t="str">
        <f t="shared" si="15"/>
        <v/>
      </c>
      <c r="M75" s="121">
        <f t="shared" si="16"/>
        <v>0</v>
      </c>
      <c r="N75" s="121">
        <f t="shared" si="17"/>
        <v>0</v>
      </c>
    </row>
    <row r="76" spans="1:14" x14ac:dyDescent="0.3">
      <c r="A76" s="122"/>
      <c r="B76" s="122"/>
      <c r="C76" s="122"/>
      <c r="D76" s="123"/>
      <c r="E76" s="122"/>
      <c r="F76" s="122"/>
      <c r="G76" s="122"/>
      <c r="H76" s="120">
        <f t="shared" si="12"/>
        <v>0</v>
      </c>
      <c r="I76" s="120">
        <f>IF($A76="",0,SUMIF(Recetas!$B$5:$B$89,$A76,Recetas!$E$5:$E$89))</f>
        <v>0</v>
      </c>
      <c r="J76" s="120">
        <f t="shared" si="13"/>
        <v>0</v>
      </c>
      <c r="K76" s="121">
        <f t="shared" si="14"/>
        <v>0</v>
      </c>
      <c r="L76" s="9" t="str">
        <f t="shared" si="15"/>
        <v/>
      </c>
      <c r="M76" s="121">
        <f t="shared" si="16"/>
        <v>0</v>
      </c>
      <c r="N76" s="121">
        <f t="shared" si="17"/>
        <v>0</v>
      </c>
    </row>
    <row r="77" spans="1:14" x14ac:dyDescent="0.3">
      <c r="A77" s="122"/>
      <c r="B77" s="122"/>
      <c r="C77" s="122"/>
      <c r="D77" s="123"/>
      <c r="E77" s="122"/>
      <c r="F77" s="122"/>
      <c r="G77" s="122"/>
      <c r="H77" s="120">
        <f t="shared" si="12"/>
        <v>0</v>
      </c>
      <c r="I77" s="120">
        <f>IF($A77="",0,SUMIF(Recetas!$B$5:$B$89,$A77,Recetas!$E$5:$E$89))</f>
        <v>0</v>
      </c>
      <c r="J77" s="120">
        <f t="shared" si="13"/>
        <v>0</v>
      </c>
      <c r="K77" s="121">
        <f t="shared" si="14"/>
        <v>0</v>
      </c>
      <c r="L77" s="9" t="str">
        <f t="shared" si="15"/>
        <v/>
      </c>
      <c r="M77" s="121">
        <f t="shared" si="16"/>
        <v>0</v>
      </c>
      <c r="N77" s="121">
        <f t="shared" si="17"/>
        <v>0</v>
      </c>
    </row>
    <row r="78" spans="1:14" x14ac:dyDescent="0.3">
      <c r="A78" s="122"/>
      <c r="B78" s="122"/>
      <c r="C78" s="122"/>
      <c r="D78" s="123"/>
      <c r="E78" s="122"/>
      <c r="F78" s="122"/>
      <c r="G78" s="122"/>
      <c r="H78" s="120">
        <f t="shared" si="12"/>
        <v>0</v>
      </c>
      <c r="I78" s="120">
        <f>IF($A78="",0,SUMIF(Recetas!$B$5:$B$89,$A78,Recetas!$E$5:$E$89))</f>
        <v>0</v>
      </c>
      <c r="J78" s="120">
        <f t="shared" si="13"/>
        <v>0</v>
      </c>
      <c r="K78" s="121">
        <f t="shared" si="14"/>
        <v>0</v>
      </c>
      <c r="L78" s="9" t="str">
        <f t="shared" si="15"/>
        <v/>
      </c>
      <c r="M78" s="121">
        <f t="shared" si="16"/>
        <v>0</v>
      </c>
      <c r="N78" s="121">
        <f t="shared" si="17"/>
        <v>0</v>
      </c>
    </row>
    <row r="79" spans="1:14" x14ac:dyDescent="0.3">
      <c r="A79" s="122"/>
      <c r="B79" s="122"/>
      <c r="C79" s="122"/>
      <c r="D79" s="123"/>
      <c r="E79" s="122"/>
      <c r="F79" s="122"/>
      <c r="G79" s="122"/>
      <c r="H79" s="120">
        <f t="shared" si="12"/>
        <v>0</v>
      </c>
      <c r="I79" s="120">
        <f>IF($A79="",0,SUMIF(Recetas!$B$5:$B$89,$A79,Recetas!$E$5:$E$89))</f>
        <v>0</v>
      </c>
      <c r="J79" s="120">
        <f t="shared" si="13"/>
        <v>0</v>
      </c>
      <c r="K79" s="121">
        <f t="shared" si="14"/>
        <v>0</v>
      </c>
      <c r="L79" s="9" t="str">
        <f t="shared" si="15"/>
        <v/>
      </c>
      <c r="M79" s="121">
        <f t="shared" si="16"/>
        <v>0</v>
      </c>
      <c r="N79" s="121">
        <f t="shared" si="17"/>
        <v>0</v>
      </c>
    </row>
    <row r="80" spans="1:14" x14ac:dyDescent="0.3">
      <c r="A80" s="122"/>
      <c r="B80" s="122"/>
      <c r="C80" s="122"/>
      <c r="D80" s="123"/>
      <c r="E80" s="122"/>
      <c r="F80" s="122"/>
      <c r="G80" s="122"/>
      <c r="H80" s="120">
        <f t="shared" si="12"/>
        <v>0</v>
      </c>
      <c r="I80" s="120">
        <f>IF($A80="",0,SUMIF(Recetas!$B$5:$B$89,$A80,Recetas!$E$5:$E$89))</f>
        <v>0</v>
      </c>
      <c r="J80" s="120">
        <f t="shared" si="13"/>
        <v>0</v>
      </c>
      <c r="K80" s="121">
        <f t="shared" si="14"/>
        <v>0</v>
      </c>
      <c r="L80" s="9" t="str">
        <f t="shared" si="15"/>
        <v/>
      </c>
      <c r="M80" s="121">
        <f t="shared" si="16"/>
        <v>0</v>
      </c>
      <c r="N80" s="121">
        <f t="shared" si="17"/>
        <v>0</v>
      </c>
    </row>
    <row r="81" spans="1:14" x14ac:dyDescent="0.3">
      <c r="A81" s="122"/>
      <c r="B81" s="122"/>
      <c r="C81" s="122"/>
      <c r="D81" s="123"/>
      <c r="E81" s="122"/>
      <c r="F81" s="122"/>
      <c r="G81" s="122"/>
      <c r="H81" s="120">
        <f t="shared" si="12"/>
        <v>0</v>
      </c>
      <c r="I81" s="120">
        <f>IF($A81="",0,SUMIF(Recetas!$B$5:$B$89,$A81,Recetas!$E$5:$E$89))</f>
        <v>0</v>
      </c>
      <c r="J81" s="120">
        <f t="shared" si="13"/>
        <v>0</v>
      </c>
      <c r="K81" s="121">
        <f t="shared" si="14"/>
        <v>0</v>
      </c>
      <c r="L81" s="9" t="str">
        <f t="shared" si="15"/>
        <v/>
      </c>
      <c r="M81" s="121">
        <f t="shared" si="16"/>
        <v>0</v>
      </c>
      <c r="N81" s="121">
        <f t="shared" si="17"/>
        <v>0</v>
      </c>
    </row>
    <row r="82" spans="1:14" x14ac:dyDescent="0.3">
      <c r="A82" s="122"/>
      <c r="B82" s="122"/>
      <c r="C82" s="122"/>
      <c r="D82" s="123"/>
      <c r="E82" s="122"/>
      <c r="F82" s="122"/>
      <c r="G82" s="122"/>
      <c r="H82" s="120">
        <f t="shared" si="12"/>
        <v>0</v>
      </c>
      <c r="I82" s="120">
        <f>IF($A82="",0,SUMIF(Recetas!$B$5:$B$89,$A82,Recetas!$E$5:$E$89))</f>
        <v>0</v>
      </c>
      <c r="J82" s="120">
        <f t="shared" si="13"/>
        <v>0</v>
      </c>
      <c r="K82" s="121">
        <f t="shared" si="14"/>
        <v>0</v>
      </c>
      <c r="L82" s="9" t="str">
        <f t="shared" si="15"/>
        <v/>
      </c>
      <c r="M82" s="121">
        <f t="shared" si="16"/>
        <v>0</v>
      </c>
      <c r="N82" s="121">
        <f t="shared" si="17"/>
        <v>0</v>
      </c>
    </row>
    <row r="83" spans="1:14" x14ac:dyDescent="0.3">
      <c r="A83" s="122"/>
      <c r="B83" s="122"/>
      <c r="C83" s="122"/>
      <c r="D83" s="123"/>
      <c r="E83" s="122"/>
      <c r="F83" s="122"/>
      <c r="G83" s="122"/>
      <c r="H83" s="120">
        <f t="shared" si="12"/>
        <v>0</v>
      </c>
      <c r="I83" s="120">
        <f>IF($A83="",0,SUMIF(Recetas!$B$5:$B$89,$A83,Recetas!$E$5:$E$89))</f>
        <v>0</v>
      </c>
      <c r="J83" s="120">
        <f t="shared" si="13"/>
        <v>0</v>
      </c>
      <c r="K83" s="121">
        <f t="shared" si="14"/>
        <v>0</v>
      </c>
      <c r="L83" s="9" t="str">
        <f t="shared" si="15"/>
        <v/>
      </c>
      <c r="M83" s="121">
        <f t="shared" si="16"/>
        <v>0</v>
      </c>
      <c r="N83" s="121">
        <f t="shared" si="17"/>
        <v>0</v>
      </c>
    </row>
    <row r="84" spans="1:14" x14ac:dyDescent="0.3">
      <c r="A84" s="122"/>
      <c r="B84" s="122"/>
      <c r="C84" s="122"/>
      <c r="D84" s="123"/>
      <c r="E84" s="122"/>
      <c r="F84" s="122"/>
      <c r="G84" s="122"/>
      <c r="H84" s="120">
        <f t="shared" si="12"/>
        <v>0</v>
      </c>
      <c r="I84" s="120">
        <f>IF($A84="",0,SUMIF(Recetas!$B$5:$B$89,$A84,Recetas!$E$5:$E$89))</f>
        <v>0</v>
      </c>
      <c r="J84" s="120">
        <f t="shared" si="13"/>
        <v>0</v>
      </c>
      <c r="K84" s="121">
        <f t="shared" si="14"/>
        <v>0</v>
      </c>
      <c r="L84" s="9" t="str">
        <f t="shared" si="15"/>
        <v/>
      </c>
      <c r="M84" s="121">
        <f t="shared" si="16"/>
        <v>0</v>
      </c>
      <c r="N84" s="121">
        <f t="shared" si="17"/>
        <v>0</v>
      </c>
    </row>
    <row r="85" spans="1:14" x14ac:dyDescent="0.3">
      <c r="A85" s="122"/>
      <c r="B85" s="122"/>
      <c r="C85" s="122"/>
      <c r="D85" s="123"/>
      <c r="E85" s="122"/>
      <c r="F85" s="122"/>
      <c r="G85" s="122"/>
      <c r="H85" s="120">
        <f t="shared" si="12"/>
        <v>0</v>
      </c>
      <c r="I85" s="120">
        <f>IF($A85="",0,SUMIF(Recetas!$B$5:$B$89,$A85,Recetas!$E$5:$E$89))</f>
        <v>0</v>
      </c>
      <c r="J85" s="120">
        <f t="shared" si="13"/>
        <v>0</v>
      </c>
      <c r="K85" s="121">
        <f t="shared" si="14"/>
        <v>0</v>
      </c>
      <c r="L85" s="9" t="str">
        <f t="shared" si="15"/>
        <v/>
      </c>
      <c r="M85" s="121">
        <f t="shared" si="16"/>
        <v>0</v>
      </c>
      <c r="N85" s="121">
        <f t="shared" si="17"/>
        <v>0</v>
      </c>
    </row>
    <row r="86" spans="1:14" x14ac:dyDescent="0.3">
      <c r="A86" s="122"/>
      <c r="B86" s="122"/>
      <c r="C86" s="122"/>
      <c r="D86" s="123"/>
      <c r="E86" s="122"/>
      <c r="F86" s="122"/>
      <c r="G86" s="122"/>
      <c r="H86" s="120">
        <f t="shared" si="12"/>
        <v>0</v>
      </c>
      <c r="I86" s="120">
        <f>IF($A86="",0,SUMIF(Recetas!$B$5:$B$89,$A86,Recetas!$E$5:$E$89))</f>
        <v>0</v>
      </c>
      <c r="J86" s="120">
        <f t="shared" si="13"/>
        <v>0</v>
      </c>
      <c r="K86" s="121">
        <f t="shared" si="14"/>
        <v>0</v>
      </c>
      <c r="L86" s="9" t="str">
        <f t="shared" si="15"/>
        <v/>
      </c>
      <c r="M86" s="121">
        <f t="shared" si="16"/>
        <v>0</v>
      </c>
      <c r="N86" s="121">
        <f t="shared" si="17"/>
        <v>0</v>
      </c>
    </row>
    <row r="87" spans="1:14" x14ac:dyDescent="0.3">
      <c r="A87" s="122"/>
      <c r="B87" s="122"/>
      <c r="C87" s="122"/>
      <c r="D87" s="123"/>
      <c r="E87" s="122"/>
      <c r="F87" s="122"/>
      <c r="G87" s="122"/>
      <c r="H87" s="120">
        <f t="shared" si="12"/>
        <v>0</v>
      </c>
      <c r="I87" s="120">
        <f>IF($A87="",0,SUMIF(Recetas!$B$5:$B$89,$A87,Recetas!$E$5:$E$89))</f>
        <v>0</v>
      </c>
      <c r="J87" s="120">
        <f t="shared" si="13"/>
        <v>0</v>
      </c>
      <c r="K87" s="121">
        <f t="shared" si="14"/>
        <v>0</v>
      </c>
      <c r="L87" s="9" t="str">
        <f t="shared" si="15"/>
        <v/>
      </c>
      <c r="M87" s="121">
        <f t="shared" si="16"/>
        <v>0</v>
      </c>
      <c r="N87" s="121">
        <f t="shared" si="17"/>
        <v>0</v>
      </c>
    </row>
    <row r="88" spans="1:14" x14ac:dyDescent="0.3">
      <c r="A88" s="122"/>
      <c r="B88" s="122"/>
      <c r="C88" s="122"/>
      <c r="D88" s="123"/>
      <c r="E88" s="122"/>
      <c r="F88" s="122"/>
      <c r="G88" s="122"/>
      <c r="H88" s="120">
        <f t="shared" si="12"/>
        <v>0</v>
      </c>
      <c r="I88" s="120">
        <f>IF($A88="",0,SUMIF(Recetas!$B$5:$B$89,$A88,Recetas!$E$5:$E$89))</f>
        <v>0</v>
      </c>
      <c r="J88" s="120">
        <f t="shared" si="13"/>
        <v>0</v>
      </c>
      <c r="K88" s="121">
        <f t="shared" si="14"/>
        <v>0</v>
      </c>
      <c r="L88" s="9" t="str">
        <f t="shared" si="15"/>
        <v/>
      </c>
      <c r="M88" s="121">
        <f t="shared" si="16"/>
        <v>0</v>
      </c>
      <c r="N88" s="121">
        <f t="shared" si="17"/>
        <v>0</v>
      </c>
    </row>
    <row r="89" spans="1:14" x14ac:dyDescent="0.3">
      <c r="A89" s="122"/>
      <c r="B89" s="122"/>
      <c r="C89" s="122"/>
      <c r="D89" s="123"/>
      <c r="E89" s="122"/>
      <c r="F89" s="122"/>
      <c r="G89" s="122"/>
      <c r="H89" s="120">
        <f t="shared" si="12"/>
        <v>0</v>
      </c>
      <c r="I89" s="120">
        <f>IF($A89="",0,SUMIF(Recetas!$B$5:$B$89,$A89,Recetas!$E$5:$E$89))</f>
        <v>0</v>
      </c>
      <c r="J89" s="120">
        <f t="shared" si="13"/>
        <v>0</v>
      </c>
      <c r="K89" s="121">
        <f t="shared" si="14"/>
        <v>0</v>
      </c>
      <c r="L89" s="9" t="str">
        <f t="shared" si="15"/>
        <v/>
      </c>
      <c r="M89" s="121">
        <f t="shared" si="16"/>
        <v>0</v>
      </c>
      <c r="N89" s="121">
        <f t="shared" si="17"/>
        <v>0</v>
      </c>
    </row>
    <row r="90" spans="1:14" x14ac:dyDescent="0.3">
      <c r="A90" s="122"/>
      <c r="B90" s="122"/>
      <c r="C90" s="122"/>
      <c r="D90" s="123"/>
      <c r="E90" s="122"/>
      <c r="F90" s="122"/>
      <c r="G90" s="122"/>
      <c r="H90" s="120">
        <f t="shared" si="12"/>
        <v>0</v>
      </c>
      <c r="I90" s="120">
        <f>IF($A90="",0,SUMIF(Recetas!$B$5:$B$89,$A90,Recetas!$E$5:$E$89))</f>
        <v>0</v>
      </c>
      <c r="J90" s="120">
        <f t="shared" si="13"/>
        <v>0</v>
      </c>
      <c r="K90" s="121">
        <f t="shared" si="14"/>
        <v>0</v>
      </c>
      <c r="L90" s="9" t="str">
        <f t="shared" si="15"/>
        <v/>
      </c>
      <c r="M90" s="121">
        <f t="shared" si="16"/>
        <v>0</v>
      </c>
      <c r="N90" s="121">
        <f t="shared" si="17"/>
        <v>0</v>
      </c>
    </row>
    <row r="91" spans="1:14" x14ac:dyDescent="0.3">
      <c r="A91" s="122"/>
      <c r="B91" s="122"/>
      <c r="C91" s="122"/>
      <c r="D91" s="123"/>
      <c r="E91" s="122"/>
      <c r="F91" s="122"/>
      <c r="G91" s="122"/>
      <c r="H91" s="120">
        <f t="shared" si="12"/>
        <v>0</v>
      </c>
      <c r="I91" s="120">
        <f>IF($A91="",0,SUMIF(Recetas!$B$5:$B$89,$A91,Recetas!$E$5:$E$89))</f>
        <v>0</v>
      </c>
      <c r="J91" s="120">
        <f t="shared" si="13"/>
        <v>0</v>
      </c>
      <c r="K91" s="121">
        <f t="shared" si="14"/>
        <v>0</v>
      </c>
      <c r="L91" s="9" t="str">
        <f t="shared" si="15"/>
        <v/>
      </c>
      <c r="M91" s="121">
        <f t="shared" si="16"/>
        <v>0</v>
      </c>
      <c r="N91" s="121">
        <f t="shared" si="17"/>
        <v>0</v>
      </c>
    </row>
    <row r="92" spans="1:14" x14ac:dyDescent="0.3">
      <c r="A92" s="122"/>
      <c r="B92" s="122"/>
      <c r="C92" s="122"/>
      <c r="D92" s="123"/>
      <c r="E92" s="122"/>
      <c r="F92" s="122"/>
      <c r="G92" s="122"/>
      <c r="H92" s="120">
        <f t="shared" si="12"/>
        <v>0</v>
      </c>
      <c r="I92" s="120">
        <f>IF($A92="",0,SUMIF(Recetas!$B$5:$B$89,$A92,Recetas!$E$5:$E$89))</f>
        <v>0</v>
      </c>
      <c r="J92" s="120">
        <f t="shared" si="13"/>
        <v>0</v>
      </c>
      <c r="K92" s="121">
        <f t="shared" si="14"/>
        <v>0</v>
      </c>
      <c r="L92" s="9" t="str">
        <f t="shared" si="15"/>
        <v/>
      </c>
      <c r="M92" s="121">
        <f t="shared" si="16"/>
        <v>0</v>
      </c>
      <c r="N92" s="121">
        <f t="shared" si="17"/>
        <v>0</v>
      </c>
    </row>
    <row r="93" spans="1:14" x14ac:dyDescent="0.3">
      <c r="A93" s="122"/>
      <c r="B93" s="122"/>
      <c r="C93" s="122"/>
      <c r="D93" s="123"/>
      <c r="E93" s="122"/>
      <c r="F93" s="122"/>
      <c r="G93" s="122"/>
      <c r="H93" s="120">
        <f t="shared" si="12"/>
        <v>0</v>
      </c>
      <c r="I93" s="120">
        <f>IF($A93="",0,SUMIF(Recetas!$B$5:$B$89,$A93,Recetas!$E$5:$E$89))</f>
        <v>0</v>
      </c>
      <c r="J93" s="120">
        <f t="shared" si="13"/>
        <v>0</v>
      </c>
      <c r="K93" s="121">
        <f t="shared" si="14"/>
        <v>0</v>
      </c>
      <c r="L93" s="9" t="str">
        <f t="shared" si="15"/>
        <v/>
      </c>
      <c r="M93" s="121">
        <f t="shared" si="16"/>
        <v>0</v>
      </c>
      <c r="N93" s="121">
        <f t="shared" si="17"/>
        <v>0</v>
      </c>
    </row>
    <row r="94" spans="1:14" x14ac:dyDescent="0.3">
      <c r="A94" s="122"/>
      <c r="B94" s="122"/>
      <c r="C94" s="122"/>
      <c r="D94" s="123"/>
      <c r="E94" s="122"/>
      <c r="F94" s="122"/>
      <c r="G94" s="122"/>
      <c r="H94" s="120">
        <f t="shared" si="12"/>
        <v>0</v>
      </c>
      <c r="I94" s="120">
        <f>IF($A94="",0,SUMIF(Recetas!$B$5:$B$89,$A94,Recetas!$E$5:$E$89))</f>
        <v>0</v>
      </c>
      <c r="J94" s="120">
        <f t="shared" si="13"/>
        <v>0</v>
      </c>
      <c r="K94" s="121">
        <f t="shared" si="14"/>
        <v>0</v>
      </c>
      <c r="L94" s="9" t="str">
        <f t="shared" si="15"/>
        <v/>
      </c>
      <c r="M94" s="121">
        <f t="shared" si="16"/>
        <v>0</v>
      </c>
      <c r="N94" s="121">
        <f t="shared" si="17"/>
        <v>0</v>
      </c>
    </row>
    <row r="95" spans="1:14" x14ac:dyDescent="0.3">
      <c r="A95" s="122"/>
      <c r="B95" s="122"/>
      <c r="C95" s="122"/>
      <c r="D95" s="123"/>
      <c r="E95" s="122"/>
      <c r="F95" s="122"/>
      <c r="G95" s="122"/>
      <c r="H95" s="120">
        <f t="shared" si="12"/>
        <v>0</v>
      </c>
      <c r="I95" s="120">
        <f>IF($A95="",0,SUMIF(Recetas!$B$5:$B$89,$A95,Recetas!$E$5:$E$89))</f>
        <v>0</v>
      </c>
      <c r="J95" s="120">
        <f t="shared" si="13"/>
        <v>0</v>
      </c>
      <c r="K95" s="121">
        <f t="shared" si="14"/>
        <v>0</v>
      </c>
      <c r="L95" s="9" t="str">
        <f t="shared" si="15"/>
        <v/>
      </c>
      <c r="M95" s="121">
        <f t="shared" si="16"/>
        <v>0</v>
      </c>
      <c r="N95" s="121">
        <f t="shared" si="17"/>
        <v>0</v>
      </c>
    </row>
    <row r="96" spans="1:14" x14ac:dyDescent="0.3">
      <c r="A96" s="122"/>
      <c r="B96" s="122"/>
      <c r="C96" s="122"/>
      <c r="D96" s="123"/>
      <c r="E96" s="122"/>
      <c r="F96" s="122"/>
      <c r="G96" s="122"/>
      <c r="H96" s="120">
        <f t="shared" si="12"/>
        <v>0</v>
      </c>
      <c r="I96" s="120">
        <f>IF($A96="",0,SUMIF(Recetas!$B$5:$B$89,$A96,Recetas!$E$5:$E$89))</f>
        <v>0</v>
      </c>
      <c r="J96" s="120">
        <f t="shared" si="13"/>
        <v>0</v>
      </c>
      <c r="K96" s="121">
        <f t="shared" si="14"/>
        <v>0</v>
      </c>
      <c r="L96" s="9" t="str">
        <f t="shared" si="15"/>
        <v/>
      </c>
      <c r="M96" s="121">
        <f t="shared" si="16"/>
        <v>0</v>
      </c>
      <c r="N96" s="121">
        <f t="shared" si="17"/>
        <v>0</v>
      </c>
    </row>
    <row r="97" spans="1:14" x14ac:dyDescent="0.3">
      <c r="A97" s="122"/>
      <c r="B97" s="122"/>
      <c r="C97" s="122"/>
      <c r="D97" s="123"/>
      <c r="E97" s="122"/>
      <c r="F97" s="122"/>
      <c r="G97" s="122"/>
      <c r="H97" s="120">
        <f t="shared" si="12"/>
        <v>0</v>
      </c>
      <c r="I97" s="120">
        <f>IF($A97="",0,SUMIF(Recetas!$B$5:$B$89,$A97,Recetas!$E$5:$E$89))</f>
        <v>0</v>
      </c>
      <c r="J97" s="120">
        <f t="shared" si="13"/>
        <v>0</v>
      </c>
      <c r="K97" s="121">
        <f t="shared" si="14"/>
        <v>0</v>
      </c>
      <c r="L97" s="9" t="str">
        <f t="shared" si="15"/>
        <v/>
      </c>
      <c r="M97" s="121">
        <f t="shared" si="16"/>
        <v>0</v>
      </c>
      <c r="N97" s="121">
        <f t="shared" si="17"/>
        <v>0</v>
      </c>
    </row>
    <row r="98" spans="1:14" x14ac:dyDescent="0.3">
      <c r="A98" s="122"/>
      <c r="B98" s="122"/>
      <c r="C98" s="122"/>
      <c r="D98" s="123"/>
      <c r="E98" s="122"/>
      <c r="F98" s="122"/>
      <c r="G98" s="122"/>
      <c r="H98" s="120">
        <f t="shared" si="12"/>
        <v>0</v>
      </c>
      <c r="I98" s="120">
        <f>IF($A98="",0,SUMIF(Recetas!$B$5:$B$89,$A98,Recetas!$E$5:$E$89))</f>
        <v>0</v>
      </c>
      <c r="J98" s="120">
        <f t="shared" si="13"/>
        <v>0</v>
      </c>
      <c r="K98" s="121">
        <f t="shared" si="14"/>
        <v>0</v>
      </c>
      <c r="L98" s="9" t="str">
        <f t="shared" si="15"/>
        <v/>
      </c>
      <c r="M98" s="121">
        <f t="shared" si="16"/>
        <v>0</v>
      </c>
      <c r="N98" s="121">
        <f t="shared" si="17"/>
        <v>0</v>
      </c>
    </row>
    <row r="99" spans="1:14" x14ac:dyDescent="0.3">
      <c r="A99" s="122"/>
      <c r="B99" s="122"/>
      <c r="C99" s="122"/>
      <c r="D99" s="123"/>
      <c r="E99" s="122"/>
      <c r="F99" s="122"/>
      <c r="G99" s="122"/>
      <c r="H99" s="120">
        <f t="shared" si="12"/>
        <v>0</v>
      </c>
      <c r="I99" s="120">
        <f>IF($A99="",0,SUMIF(Recetas!$B$5:$B$89,$A99,Recetas!$E$5:$E$89))</f>
        <v>0</v>
      </c>
      <c r="J99" s="120">
        <f t="shared" si="13"/>
        <v>0</v>
      </c>
      <c r="K99" s="121">
        <f t="shared" si="14"/>
        <v>0</v>
      </c>
      <c r="L99" s="9" t="str">
        <f t="shared" si="15"/>
        <v/>
      </c>
      <c r="M99" s="121">
        <f t="shared" si="16"/>
        <v>0</v>
      </c>
      <c r="N99" s="121">
        <f t="shared" si="17"/>
        <v>0</v>
      </c>
    </row>
    <row r="100" spans="1:14" x14ac:dyDescent="0.3">
      <c r="A100" s="122"/>
      <c r="B100" s="122"/>
      <c r="C100" s="122"/>
      <c r="D100" s="123"/>
      <c r="E100" s="122"/>
      <c r="F100" s="122"/>
      <c r="G100" s="122"/>
      <c r="H100" s="120">
        <f t="shared" si="12"/>
        <v>0</v>
      </c>
      <c r="I100" s="120">
        <f>IF($A100="",0,SUMIF(Recetas!$B$5:$B$89,$A100,Recetas!$E$5:$E$89))</f>
        <v>0</v>
      </c>
      <c r="J100" s="120">
        <f t="shared" si="13"/>
        <v>0</v>
      </c>
      <c r="K100" s="121">
        <f t="shared" si="14"/>
        <v>0</v>
      </c>
      <c r="L100" s="9" t="str">
        <f t="shared" si="15"/>
        <v/>
      </c>
      <c r="M100" s="121">
        <f t="shared" si="16"/>
        <v>0</v>
      </c>
      <c r="N100" s="121">
        <f t="shared" si="17"/>
        <v>0</v>
      </c>
    </row>
    <row r="101" spans="1:14" x14ac:dyDescent="0.3">
      <c r="A101" s="122"/>
      <c r="B101" s="122"/>
      <c r="C101" s="122"/>
      <c r="D101" s="123"/>
      <c r="E101" s="122"/>
      <c r="F101" s="122"/>
      <c r="G101" s="122"/>
      <c r="H101" s="120">
        <f t="shared" ref="H101:H124" si="18">IF($A101="",0,$E101+$F101-$G101)</f>
        <v>0</v>
      </c>
      <c r="I101" s="120">
        <f>IF($A101="",0,SUMIF(Recetas!$B$5:$B$89,$A101,Recetas!$E$5:$E$89))</f>
        <v>0</v>
      </c>
      <c r="J101" s="120">
        <f t="shared" ref="J101:J124" si="19">IF($A101="",0,$H101-$I101)</f>
        <v>0</v>
      </c>
      <c r="K101" s="121">
        <f t="shared" ref="K101:K124" si="20">IF($A101="",0,$J101*$D101)</f>
        <v>0</v>
      </c>
      <c r="L101" s="9" t="str">
        <f t="shared" ref="L101:L124" si="21">IF($I101=0,"",$J101/$I101)</f>
        <v/>
      </c>
      <c r="M101" s="121">
        <f t="shared" ref="M101:M124" si="22">IF($A101="",0,$H101*$D101)</f>
        <v>0</v>
      </c>
      <c r="N101" s="121">
        <f t="shared" ref="N101:N124" si="23">IF($A101="",0,$I101*$D101)</f>
        <v>0</v>
      </c>
    </row>
    <row r="102" spans="1:14" x14ac:dyDescent="0.3">
      <c r="A102" s="122"/>
      <c r="B102" s="122"/>
      <c r="C102" s="122"/>
      <c r="D102" s="123"/>
      <c r="E102" s="122"/>
      <c r="F102" s="122"/>
      <c r="G102" s="122"/>
      <c r="H102" s="120">
        <f t="shared" si="18"/>
        <v>0</v>
      </c>
      <c r="I102" s="120">
        <f>IF($A102="",0,SUMIF(Recetas!$B$5:$B$89,$A102,Recetas!$E$5:$E$89))</f>
        <v>0</v>
      </c>
      <c r="J102" s="120">
        <f t="shared" si="19"/>
        <v>0</v>
      </c>
      <c r="K102" s="121">
        <f t="shared" si="20"/>
        <v>0</v>
      </c>
      <c r="L102" s="9" t="str">
        <f t="shared" si="21"/>
        <v/>
      </c>
      <c r="M102" s="121">
        <f t="shared" si="22"/>
        <v>0</v>
      </c>
      <c r="N102" s="121">
        <f t="shared" si="23"/>
        <v>0</v>
      </c>
    </row>
    <row r="103" spans="1:14" x14ac:dyDescent="0.3">
      <c r="A103" s="122"/>
      <c r="B103" s="122"/>
      <c r="C103" s="122"/>
      <c r="D103" s="123"/>
      <c r="E103" s="122"/>
      <c r="F103" s="122"/>
      <c r="G103" s="122"/>
      <c r="H103" s="120">
        <f t="shared" si="18"/>
        <v>0</v>
      </c>
      <c r="I103" s="120">
        <f>IF($A103="",0,SUMIF(Recetas!$B$5:$B$89,$A103,Recetas!$E$5:$E$89))</f>
        <v>0</v>
      </c>
      <c r="J103" s="120">
        <f t="shared" si="19"/>
        <v>0</v>
      </c>
      <c r="K103" s="121">
        <f t="shared" si="20"/>
        <v>0</v>
      </c>
      <c r="L103" s="9" t="str">
        <f t="shared" si="21"/>
        <v/>
      </c>
      <c r="M103" s="121">
        <f t="shared" si="22"/>
        <v>0</v>
      </c>
      <c r="N103" s="121">
        <f t="shared" si="23"/>
        <v>0</v>
      </c>
    </row>
    <row r="104" spans="1:14" x14ac:dyDescent="0.3">
      <c r="A104" s="122"/>
      <c r="B104" s="122"/>
      <c r="C104" s="122"/>
      <c r="D104" s="123"/>
      <c r="E104" s="122"/>
      <c r="F104" s="122"/>
      <c r="G104" s="122"/>
      <c r="H104" s="120">
        <f t="shared" si="18"/>
        <v>0</v>
      </c>
      <c r="I104" s="120">
        <f>IF($A104="",0,SUMIF(Recetas!$B$5:$B$89,$A104,Recetas!$E$5:$E$89))</f>
        <v>0</v>
      </c>
      <c r="J104" s="120">
        <f t="shared" si="19"/>
        <v>0</v>
      </c>
      <c r="K104" s="121">
        <f t="shared" si="20"/>
        <v>0</v>
      </c>
      <c r="L104" s="9" t="str">
        <f t="shared" si="21"/>
        <v/>
      </c>
      <c r="M104" s="121">
        <f t="shared" si="22"/>
        <v>0</v>
      </c>
      <c r="N104" s="121">
        <f t="shared" si="23"/>
        <v>0</v>
      </c>
    </row>
    <row r="105" spans="1:14" x14ac:dyDescent="0.3">
      <c r="A105" s="122"/>
      <c r="B105" s="122"/>
      <c r="C105" s="122"/>
      <c r="D105" s="123"/>
      <c r="E105" s="122"/>
      <c r="F105" s="122"/>
      <c r="G105" s="122"/>
      <c r="H105" s="120">
        <f t="shared" si="18"/>
        <v>0</v>
      </c>
      <c r="I105" s="120">
        <f>IF($A105="",0,SUMIF(Recetas!$B$5:$B$89,$A105,Recetas!$E$5:$E$89))</f>
        <v>0</v>
      </c>
      <c r="J105" s="120">
        <f t="shared" si="19"/>
        <v>0</v>
      </c>
      <c r="K105" s="121">
        <f t="shared" si="20"/>
        <v>0</v>
      </c>
      <c r="L105" s="9" t="str">
        <f t="shared" si="21"/>
        <v/>
      </c>
      <c r="M105" s="121">
        <f t="shared" si="22"/>
        <v>0</v>
      </c>
      <c r="N105" s="121">
        <f t="shared" si="23"/>
        <v>0</v>
      </c>
    </row>
    <row r="106" spans="1:14" x14ac:dyDescent="0.3">
      <c r="A106" s="122"/>
      <c r="B106" s="122"/>
      <c r="C106" s="122"/>
      <c r="D106" s="123"/>
      <c r="E106" s="122"/>
      <c r="F106" s="122"/>
      <c r="G106" s="122"/>
      <c r="H106" s="120">
        <f t="shared" si="18"/>
        <v>0</v>
      </c>
      <c r="I106" s="120">
        <f>IF($A106="",0,SUMIF(Recetas!$B$5:$B$89,$A106,Recetas!$E$5:$E$89))</f>
        <v>0</v>
      </c>
      <c r="J106" s="120">
        <f t="shared" si="19"/>
        <v>0</v>
      </c>
      <c r="K106" s="121">
        <f t="shared" si="20"/>
        <v>0</v>
      </c>
      <c r="L106" s="9" t="str">
        <f t="shared" si="21"/>
        <v/>
      </c>
      <c r="M106" s="121">
        <f t="shared" si="22"/>
        <v>0</v>
      </c>
      <c r="N106" s="121">
        <f t="shared" si="23"/>
        <v>0</v>
      </c>
    </row>
    <row r="107" spans="1:14" x14ac:dyDescent="0.3">
      <c r="A107" s="122"/>
      <c r="B107" s="122"/>
      <c r="C107" s="122"/>
      <c r="D107" s="123"/>
      <c r="E107" s="122"/>
      <c r="F107" s="122"/>
      <c r="G107" s="122"/>
      <c r="H107" s="120">
        <f t="shared" si="18"/>
        <v>0</v>
      </c>
      <c r="I107" s="120">
        <f>IF($A107="",0,SUMIF(Recetas!$B$5:$B$89,$A107,Recetas!$E$5:$E$89))</f>
        <v>0</v>
      </c>
      <c r="J107" s="120">
        <f t="shared" si="19"/>
        <v>0</v>
      </c>
      <c r="K107" s="121">
        <f t="shared" si="20"/>
        <v>0</v>
      </c>
      <c r="L107" s="9" t="str">
        <f t="shared" si="21"/>
        <v/>
      </c>
      <c r="M107" s="121">
        <f t="shared" si="22"/>
        <v>0</v>
      </c>
      <c r="N107" s="121">
        <f t="shared" si="23"/>
        <v>0</v>
      </c>
    </row>
    <row r="108" spans="1:14" x14ac:dyDescent="0.3">
      <c r="A108" s="122"/>
      <c r="B108" s="122"/>
      <c r="C108" s="122"/>
      <c r="D108" s="123"/>
      <c r="E108" s="122"/>
      <c r="F108" s="122"/>
      <c r="G108" s="122"/>
      <c r="H108" s="120">
        <f t="shared" si="18"/>
        <v>0</v>
      </c>
      <c r="I108" s="120">
        <f>IF($A108="",0,SUMIF(Recetas!$B$5:$B$89,$A108,Recetas!$E$5:$E$89))</f>
        <v>0</v>
      </c>
      <c r="J108" s="120">
        <f t="shared" si="19"/>
        <v>0</v>
      </c>
      <c r="K108" s="121">
        <f t="shared" si="20"/>
        <v>0</v>
      </c>
      <c r="L108" s="9" t="str">
        <f t="shared" si="21"/>
        <v/>
      </c>
      <c r="M108" s="121">
        <f t="shared" si="22"/>
        <v>0</v>
      </c>
      <c r="N108" s="121">
        <f t="shared" si="23"/>
        <v>0</v>
      </c>
    </row>
    <row r="109" spans="1:14" x14ac:dyDescent="0.3">
      <c r="A109" s="122"/>
      <c r="B109" s="122"/>
      <c r="C109" s="122"/>
      <c r="D109" s="123"/>
      <c r="E109" s="122"/>
      <c r="F109" s="122"/>
      <c r="G109" s="122"/>
      <c r="H109" s="120">
        <f t="shared" si="18"/>
        <v>0</v>
      </c>
      <c r="I109" s="120">
        <f>IF($A109="",0,SUMIF(Recetas!$B$5:$B$89,$A109,Recetas!$E$5:$E$89))</f>
        <v>0</v>
      </c>
      <c r="J109" s="120">
        <f t="shared" si="19"/>
        <v>0</v>
      </c>
      <c r="K109" s="121">
        <f t="shared" si="20"/>
        <v>0</v>
      </c>
      <c r="L109" s="9" t="str">
        <f t="shared" si="21"/>
        <v/>
      </c>
      <c r="M109" s="121">
        <f t="shared" si="22"/>
        <v>0</v>
      </c>
      <c r="N109" s="121">
        <f t="shared" si="23"/>
        <v>0</v>
      </c>
    </row>
    <row r="110" spans="1:14" x14ac:dyDescent="0.3">
      <c r="A110" s="122"/>
      <c r="B110" s="122"/>
      <c r="C110" s="122"/>
      <c r="D110" s="123"/>
      <c r="E110" s="122"/>
      <c r="F110" s="122"/>
      <c r="G110" s="122"/>
      <c r="H110" s="120">
        <f t="shared" si="18"/>
        <v>0</v>
      </c>
      <c r="I110" s="120">
        <f>IF($A110="",0,SUMIF(Recetas!$B$5:$B$89,$A110,Recetas!$E$5:$E$89))</f>
        <v>0</v>
      </c>
      <c r="J110" s="120">
        <f t="shared" si="19"/>
        <v>0</v>
      </c>
      <c r="K110" s="121">
        <f t="shared" si="20"/>
        <v>0</v>
      </c>
      <c r="L110" s="9" t="str">
        <f t="shared" si="21"/>
        <v/>
      </c>
      <c r="M110" s="121">
        <f t="shared" si="22"/>
        <v>0</v>
      </c>
      <c r="N110" s="121">
        <f t="shared" si="23"/>
        <v>0</v>
      </c>
    </row>
    <row r="111" spans="1:14" x14ac:dyDescent="0.3">
      <c r="A111" s="122"/>
      <c r="B111" s="122"/>
      <c r="C111" s="122"/>
      <c r="D111" s="123"/>
      <c r="E111" s="122"/>
      <c r="F111" s="122"/>
      <c r="G111" s="122"/>
      <c r="H111" s="120">
        <f t="shared" si="18"/>
        <v>0</v>
      </c>
      <c r="I111" s="120">
        <f>IF($A111="",0,SUMIF(Recetas!$B$5:$B$89,$A111,Recetas!$E$5:$E$89))</f>
        <v>0</v>
      </c>
      <c r="J111" s="120">
        <f t="shared" si="19"/>
        <v>0</v>
      </c>
      <c r="K111" s="121">
        <f t="shared" si="20"/>
        <v>0</v>
      </c>
      <c r="L111" s="9" t="str">
        <f t="shared" si="21"/>
        <v/>
      </c>
      <c r="M111" s="121">
        <f t="shared" si="22"/>
        <v>0</v>
      </c>
      <c r="N111" s="121">
        <f t="shared" si="23"/>
        <v>0</v>
      </c>
    </row>
    <row r="112" spans="1:14" x14ac:dyDescent="0.3">
      <c r="A112" s="122"/>
      <c r="B112" s="122"/>
      <c r="C112" s="122"/>
      <c r="D112" s="123"/>
      <c r="E112" s="122"/>
      <c r="F112" s="122"/>
      <c r="G112" s="122"/>
      <c r="H112" s="120">
        <f t="shared" si="18"/>
        <v>0</v>
      </c>
      <c r="I112" s="120">
        <f>IF($A112="",0,SUMIF(Recetas!$B$5:$B$89,$A112,Recetas!$E$5:$E$89))</f>
        <v>0</v>
      </c>
      <c r="J112" s="120">
        <f t="shared" si="19"/>
        <v>0</v>
      </c>
      <c r="K112" s="121">
        <f t="shared" si="20"/>
        <v>0</v>
      </c>
      <c r="L112" s="9" t="str">
        <f t="shared" si="21"/>
        <v/>
      </c>
      <c r="M112" s="121">
        <f t="shared" si="22"/>
        <v>0</v>
      </c>
      <c r="N112" s="121">
        <f t="shared" si="23"/>
        <v>0</v>
      </c>
    </row>
    <row r="113" spans="1:14" x14ac:dyDescent="0.3">
      <c r="A113" s="122"/>
      <c r="B113" s="122"/>
      <c r="C113" s="122"/>
      <c r="D113" s="123"/>
      <c r="E113" s="122"/>
      <c r="F113" s="122"/>
      <c r="G113" s="122"/>
      <c r="H113" s="120">
        <f t="shared" si="18"/>
        <v>0</v>
      </c>
      <c r="I113" s="120">
        <f>IF($A113="",0,SUMIF(Recetas!$B$5:$B$89,$A113,Recetas!$E$5:$E$89))</f>
        <v>0</v>
      </c>
      <c r="J113" s="120">
        <f t="shared" si="19"/>
        <v>0</v>
      </c>
      <c r="K113" s="121">
        <f t="shared" si="20"/>
        <v>0</v>
      </c>
      <c r="L113" s="9" t="str">
        <f t="shared" si="21"/>
        <v/>
      </c>
      <c r="M113" s="121">
        <f t="shared" si="22"/>
        <v>0</v>
      </c>
      <c r="N113" s="121">
        <f t="shared" si="23"/>
        <v>0</v>
      </c>
    </row>
    <row r="114" spans="1:14" x14ac:dyDescent="0.3">
      <c r="A114" s="122"/>
      <c r="B114" s="122"/>
      <c r="C114" s="122"/>
      <c r="D114" s="123"/>
      <c r="E114" s="122"/>
      <c r="F114" s="122"/>
      <c r="G114" s="122"/>
      <c r="H114" s="120">
        <f t="shared" si="18"/>
        <v>0</v>
      </c>
      <c r="I114" s="120">
        <f>IF($A114="",0,SUMIF(Recetas!$B$5:$B$89,$A114,Recetas!$E$5:$E$89))</f>
        <v>0</v>
      </c>
      <c r="J114" s="120">
        <f t="shared" si="19"/>
        <v>0</v>
      </c>
      <c r="K114" s="121">
        <f t="shared" si="20"/>
        <v>0</v>
      </c>
      <c r="L114" s="9" t="str">
        <f t="shared" si="21"/>
        <v/>
      </c>
      <c r="M114" s="121">
        <f t="shared" si="22"/>
        <v>0</v>
      </c>
      <c r="N114" s="121">
        <f t="shared" si="23"/>
        <v>0</v>
      </c>
    </row>
    <row r="115" spans="1:14" x14ac:dyDescent="0.3">
      <c r="A115" s="122"/>
      <c r="B115" s="122"/>
      <c r="C115" s="122"/>
      <c r="D115" s="123"/>
      <c r="E115" s="122"/>
      <c r="F115" s="122"/>
      <c r="G115" s="122"/>
      <c r="H115" s="120">
        <f t="shared" si="18"/>
        <v>0</v>
      </c>
      <c r="I115" s="120">
        <f>IF($A115="",0,SUMIF(Recetas!$B$5:$B$89,$A115,Recetas!$E$5:$E$89))</f>
        <v>0</v>
      </c>
      <c r="J115" s="120">
        <f t="shared" si="19"/>
        <v>0</v>
      </c>
      <c r="K115" s="121">
        <f t="shared" si="20"/>
        <v>0</v>
      </c>
      <c r="L115" s="9" t="str">
        <f t="shared" si="21"/>
        <v/>
      </c>
      <c r="M115" s="121">
        <f t="shared" si="22"/>
        <v>0</v>
      </c>
      <c r="N115" s="121">
        <f t="shared" si="23"/>
        <v>0</v>
      </c>
    </row>
    <row r="116" spans="1:14" x14ac:dyDescent="0.3">
      <c r="A116" s="122"/>
      <c r="B116" s="122"/>
      <c r="C116" s="122"/>
      <c r="D116" s="123"/>
      <c r="E116" s="122"/>
      <c r="F116" s="122"/>
      <c r="G116" s="122"/>
      <c r="H116" s="120">
        <f t="shared" si="18"/>
        <v>0</v>
      </c>
      <c r="I116" s="120">
        <f>IF($A116="",0,SUMIF(Recetas!$B$5:$B$89,$A116,Recetas!$E$5:$E$89))</f>
        <v>0</v>
      </c>
      <c r="J116" s="120">
        <f t="shared" si="19"/>
        <v>0</v>
      </c>
      <c r="K116" s="121">
        <f t="shared" si="20"/>
        <v>0</v>
      </c>
      <c r="L116" s="9" t="str">
        <f t="shared" si="21"/>
        <v/>
      </c>
      <c r="M116" s="121">
        <f t="shared" si="22"/>
        <v>0</v>
      </c>
      <c r="N116" s="121">
        <f t="shared" si="23"/>
        <v>0</v>
      </c>
    </row>
    <row r="117" spans="1:14" x14ac:dyDescent="0.3">
      <c r="A117" s="122"/>
      <c r="B117" s="122"/>
      <c r="C117" s="122"/>
      <c r="D117" s="123"/>
      <c r="E117" s="122"/>
      <c r="F117" s="122"/>
      <c r="G117" s="122"/>
      <c r="H117" s="120">
        <f t="shared" si="18"/>
        <v>0</v>
      </c>
      <c r="I117" s="120">
        <f>IF($A117="",0,SUMIF(Recetas!$B$5:$B$89,$A117,Recetas!$E$5:$E$89))</f>
        <v>0</v>
      </c>
      <c r="J117" s="120">
        <f t="shared" si="19"/>
        <v>0</v>
      </c>
      <c r="K117" s="121">
        <f t="shared" si="20"/>
        <v>0</v>
      </c>
      <c r="L117" s="9" t="str">
        <f t="shared" si="21"/>
        <v/>
      </c>
      <c r="M117" s="121">
        <f t="shared" si="22"/>
        <v>0</v>
      </c>
      <c r="N117" s="121">
        <f t="shared" si="23"/>
        <v>0</v>
      </c>
    </row>
    <row r="118" spans="1:14" x14ac:dyDescent="0.3">
      <c r="A118" s="122"/>
      <c r="B118" s="122"/>
      <c r="C118" s="122"/>
      <c r="D118" s="123"/>
      <c r="E118" s="122"/>
      <c r="F118" s="122"/>
      <c r="G118" s="122"/>
      <c r="H118" s="120">
        <f t="shared" si="18"/>
        <v>0</v>
      </c>
      <c r="I118" s="120">
        <f>IF($A118="",0,SUMIF(Recetas!$B$5:$B$89,$A118,Recetas!$E$5:$E$89))</f>
        <v>0</v>
      </c>
      <c r="J118" s="120">
        <f t="shared" si="19"/>
        <v>0</v>
      </c>
      <c r="K118" s="121">
        <f t="shared" si="20"/>
        <v>0</v>
      </c>
      <c r="L118" s="9" t="str">
        <f t="shared" si="21"/>
        <v/>
      </c>
      <c r="M118" s="121">
        <f t="shared" si="22"/>
        <v>0</v>
      </c>
      <c r="N118" s="121">
        <f t="shared" si="23"/>
        <v>0</v>
      </c>
    </row>
    <row r="119" spans="1:14" x14ac:dyDescent="0.3">
      <c r="A119" s="122"/>
      <c r="B119" s="122"/>
      <c r="C119" s="122"/>
      <c r="D119" s="123"/>
      <c r="E119" s="122"/>
      <c r="F119" s="122"/>
      <c r="G119" s="122"/>
      <c r="H119" s="120">
        <f t="shared" si="18"/>
        <v>0</v>
      </c>
      <c r="I119" s="120">
        <f>IF($A119="",0,SUMIF(Recetas!$B$5:$B$89,$A119,Recetas!$E$5:$E$89))</f>
        <v>0</v>
      </c>
      <c r="J119" s="120">
        <f t="shared" si="19"/>
        <v>0</v>
      </c>
      <c r="K119" s="121">
        <f t="shared" si="20"/>
        <v>0</v>
      </c>
      <c r="L119" s="9" t="str">
        <f t="shared" si="21"/>
        <v/>
      </c>
      <c r="M119" s="121">
        <f t="shared" si="22"/>
        <v>0</v>
      </c>
      <c r="N119" s="121">
        <f t="shared" si="23"/>
        <v>0</v>
      </c>
    </row>
    <row r="120" spans="1:14" x14ac:dyDescent="0.3">
      <c r="A120" s="122"/>
      <c r="B120" s="122"/>
      <c r="C120" s="122"/>
      <c r="D120" s="123"/>
      <c r="E120" s="122"/>
      <c r="F120" s="122"/>
      <c r="G120" s="122"/>
      <c r="H120" s="120">
        <f t="shared" si="18"/>
        <v>0</v>
      </c>
      <c r="I120" s="120">
        <f>IF($A120="",0,SUMIF(Recetas!$B$5:$B$89,$A120,Recetas!$E$5:$E$89))</f>
        <v>0</v>
      </c>
      <c r="J120" s="120">
        <f t="shared" si="19"/>
        <v>0</v>
      </c>
      <c r="K120" s="121">
        <f t="shared" si="20"/>
        <v>0</v>
      </c>
      <c r="L120" s="9" t="str">
        <f t="shared" si="21"/>
        <v/>
      </c>
      <c r="M120" s="121">
        <f t="shared" si="22"/>
        <v>0</v>
      </c>
      <c r="N120" s="121">
        <f t="shared" si="23"/>
        <v>0</v>
      </c>
    </row>
    <row r="121" spans="1:14" x14ac:dyDescent="0.3">
      <c r="A121" s="122"/>
      <c r="B121" s="122"/>
      <c r="C121" s="122"/>
      <c r="D121" s="123"/>
      <c r="E121" s="122"/>
      <c r="F121" s="122"/>
      <c r="G121" s="122"/>
      <c r="H121" s="120">
        <f t="shared" si="18"/>
        <v>0</v>
      </c>
      <c r="I121" s="120">
        <f>IF($A121="",0,SUMIF(Recetas!$B$5:$B$89,$A121,Recetas!$E$5:$E$89))</f>
        <v>0</v>
      </c>
      <c r="J121" s="120">
        <f t="shared" si="19"/>
        <v>0</v>
      </c>
      <c r="K121" s="121">
        <f t="shared" si="20"/>
        <v>0</v>
      </c>
      <c r="L121" s="9" t="str">
        <f t="shared" si="21"/>
        <v/>
      </c>
      <c r="M121" s="121">
        <f t="shared" si="22"/>
        <v>0</v>
      </c>
      <c r="N121" s="121">
        <f t="shared" si="23"/>
        <v>0</v>
      </c>
    </row>
    <row r="122" spans="1:14" x14ac:dyDescent="0.3">
      <c r="A122" s="122"/>
      <c r="B122" s="122"/>
      <c r="C122" s="122"/>
      <c r="D122" s="123"/>
      <c r="E122" s="122"/>
      <c r="F122" s="122"/>
      <c r="G122" s="122"/>
      <c r="H122" s="120">
        <f t="shared" si="18"/>
        <v>0</v>
      </c>
      <c r="I122" s="120">
        <f>IF($A122="",0,SUMIF(Recetas!$B$5:$B$89,$A122,Recetas!$E$5:$E$89))</f>
        <v>0</v>
      </c>
      <c r="J122" s="120">
        <f t="shared" si="19"/>
        <v>0</v>
      </c>
      <c r="K122" s="121">
        <f t="shared" si="20"/>
        <v>0</v>
      </c>
      <c r="L122" s="9" t="str">
        <f t="shared" si="21"/>
        <v/>
      </c>
      <c r="M122" s="121">
        <f t="shared" si="22"/>
        <v>0</v>
      </c>
      <c r="N122" s="121">
        <f t="shared" si="23"/>
        <v>0</v>
      </c>
    </row>
    <row r="123" spans="1:14" x14ac:dyDescent="0.3">
      <c r="A123" s="122"/>
      <c r="B123" s="122"/>
      <c r="C123" s="122"/>
      <c r="D123" s="123"/>
      <c r="E123" s="122"/>
      <c r="F123" s="122"/>
      <c r="G123" s="122"/>
      <c r="H123" s="120">
        <f t="shared" si="18"/>
        <v>0</v>
      </c>
      <c r="I123" s="120">
        <f>IF($A123="",0,SUMIF(Recetas!$B$5:$B$89,$A123,Recetas!$E$5:$E$89))</f>
        <v>0</v>
      </c>
      <c r="J123" s="120">
        <f t="shared" si="19"/>
        <v>0</v>
      </c>
      <c r="K123" s="121">
        <f t="shared" si="20"/>
        <v>0</v>
      </c>
      <c r="L123" s="9" t="str">
        <f t="shared" si="21"/>
        <v/>
      </c>
      <c r="M123" s="121">
        <f t="shared" si="22"/>
        <v>0</v>
      </c>
      <c r="N123" s="121">
        <f t="shared" si="23"/>
        <v>0</v>
      </c>
    </row>
    <row r="124" spans="1:14" x14ac:dyDescent="0.3">
      <c r="A124" s="122"/>
      <c r="B124" s="122"/>
      <c r="C124" s="122"/>
      <c r="D124" s="123"/>
      <c r="E124" s="122"/>
      <c r="F124" s="122"/>
      <c r="G124" s="122"/>
      <c r="H124" s="120">
        <f t="shared" si="18"/>
        <v>0</v>
      </c>
      <c r="I124" s="120">
        <f>IF($A124="",0,SUMIF(Recetas!$B$5:$B$89,$A124,Recetas!$E$5:$E$89))</f>
        <v>0</v>
      </c>
      <c r="J124" s="120">
        <f t="shared" si="19"/>
        <v>0</v>
      </c>
      <c r="K124" s="121">
        <f t="shared" si="20"/>
        <v>0</v>
      </c>
      <c r="L124" s="9" t="str">
        <f t="shared" si="21"/>
        <v/>
      </c>
      <c r="M124" s="121">
        <f t="shared" si="22"/>
        <v>0</v>
      </c>
      <c r="N124" s="121">
        <f t="shared" si="23"/>
        <v>0</v>
      </c>
    </row>
    <row r="125" spans="1:14" ht="15" customHeight="1" x14ac:dyDescent="0.3"/>
  </sheetData>
  <sheetProtection sheet="1" objects="1" scenarios="1" formatCells="0" formatColumns="0" formatRows="0" insertRows="0" deleteRows="0" sort="0" autoFilter="0" pivotTables="0"/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90"/>
  <sheetViews>
    <sheetView showGridLines="0" zoomScaleNormal="100" workbookViewId="0">
      <pane xSplit="3" ySplit="4" topLeftCell="D73" activePane="bottomRight" state="frozen"/>
      <selection pane="topRight" activeCell="D1" sqref="D1"/>
      <selection pane="bottomLeft" activeCell="A5" sqref="A5"/>
      <selection pane="bottomRight" activeCell="E77" sqref="E77"/>
    </sheetView>
  </sheetViews>
  <sheetFormatPr baseColWidth="10" defaultColWidth="8.6640625" defaultRowHeight="14.4" x14ac:dyDescent="0.3"/>
  <cols>
    <col min="1" max="3" width="16" style="1" customWidth="1"/>
    <col min="4" max="6" width="18" style="1" customWidth="1"/>
    <col min="7" max="7" width="20" style="1" customWidth="1"/>
    <col min="8" max="8" width="26" style="1" customWidth="1"/>
    <col min="9" max="11" width="8.6640625" style="1" customWidth="1"/>
    <col min="12" max="16384" width="8.6640625" style="1"/>
  </cols>
  <sheetData>
    <row r="1" spans="1:8" ht="30" customHeight="1" x14ac:dyDescent="0.3">
      <c r="A1" s="181" t="s">
        <v>223</v>
      </c>
      <c r="B1" s="149"/>
      <c r="C1" s="149"/>
      <c r="D1" s="149"/>
      <c r="E1" s="149"/>
      <c r="F1" s="149"/>
      <c r="G1" s="149"/>
      <c r="H1" s="149"/>
    </row>
    <row r="2" spans="1:8" s="2" customFormat="1" ht="18" customHeight="1" x14ac:dyDescent="0.3">
      <c r="A2" s="179" t="s">
        <v>318</v>
      </c>
      <c r="B2" s="180"/>
      <c r="C2" s="180"/>
      <c r="D2" s="180"/>
      <c r="E2" s="180"/>
      <c r="F2" s="180"/>
      <c r="G2" s="180"/>
      <c r="H2" s="180"/>
    </row>
    <row r="3" spans="1:8" x14ac:dyDescent="0.3">
      <c r="A3" s="14"/>
      <c r="B3" s="14"/>
      <c r="C3" s="14"/>
      <c r="D3" s="14"/>
      <c r="E3" s="14"/>
      <c r="F3" s="14"/>
      <c r="G3" s="14"/>
      <c r="H3" s="14"/>
    </row>
    <row r="4" spans="1:8" ht="36" customHeight="1" x14ac:dyDescent="0.3">
      <c r="A4" s="116" t="s">
        <v>224</v>
      </c>
      <c r="B4" s="116" t="s">
        <v>225</v>
      </c>
      <c r="C4" s="116" t="s">
        <v>226</v>
      </c>
      <c r="D4" s="116" t="s">
        <v>227</v>
      </c>
      <c r="E4" s="116" t="s">
        <v>228</v>
      </c>
      <c r="F4" s="116" t="s">
        <v>229</v>
      </c>
      <c r="G4" s="116" t="s">
        <v>230</v>
      </c>
      <c r="H4" s="116" t="s">
        <v>231</v>
      </c>
    </row>
    <row r="5" spans="1:8" x14ac:dyDescent="0.3">
      <c r="A5" s="117" t="s">
        <v>232</v>
      </c>
      <c r="B5" s="117" t="s">
        <v>160</v>
      </c>
      <c r="C5" s="124">
        <v>0.5</v>
      </c>
      <c r="D5" s="125">
        <f>IF($A5="",0,SUMIF(Ventas!$E$5:$E$104,$A5,Ventas!$G$5:$G$104))</f>
        <v>44</v>
      </c>
      <c r="E5" s="126">
        <f t="shared" ref="E5:E68" si="0">IF($A5="",0,$C5*$D5)</f>
        <v>22</v>
      </c>
      <c r="F5" s="121">
        <f>IFERROR(INDEX(Insumos!$D$5:$D$124,MATCH($B5,Insumos!$A$5:$A$124,0)),0)</f>
        <v>14500</v>
      </c>
      <c r="G5" s="121">
        <f t="shared" ref="G5:G68" si="1">IF($A5="",0,$C5*$F5)</f>
        <v>7250</v>
      </c>
      <c r="H5" s="7" t="str">
        <f>IFERROR(INDEX(Insumos!$B$5:$B$124,MATCH($B5,Insumos!$A$5:$A$124,0)),"")</f>
        <v>Pechuga de pollo</v>
      </c>
    </row>
    <row r="6" spans="1:8" x14ac:dyDescent="0.3">
      <c r="A6" s="117" t="s">
        <v>232</v>
      </c>
      <c r="B6" s="117" t="s">
        <v>171</v>
      </c>
      <c r="C6" s="124">
        <v>0.34100000000000003</v>
      </c>
      <c r="D6" s="125">
        <f>IF($A6="",0,SUMIF(Ventas!$E$5:$E$104,$A6,Ventas!$G$5:$G$104))</f>
        <v>44</v>
      </c>
      <c r="E6" s="126">
        <f t="shared" si="0"/>
        <v>15.004000000000001</v>
      </c>
      <c r="F6" s="121">
        <f>IFERROR(INDEX(Insumos!$D$5:$D$124,MATCH($B6,Insumos!$A$5:$A$124,0)),0)</f>
        <v>4200</v>
      </c>
      <c r="G6" s="121">
        <f t="shared" si="1"/>
        <v>1432.2</v>
      </c>
      <c r="H6" s="7" t="str">
        <f>IFERROR(INDEX(Insumos!$B$5:$B$124,MATCH($B6,Insumos!$A$5:$A$124,0)),"")</f>
        <v>Arroz blanco</v>
      </c>
    </row>
    <row r="7" spans="1:8" x14ac:dyDescent="0.3">
      <c r="A7" s="117" t="s">
        <v>232</v>
      </c>
      <c r="B7" s="117" t="s">
        <v>175</v>
      </c>
      <c r="C7" s="124">
        <v>0.27300000000000002</v>
      </c>
      <c r="D7" s="125">
        <f>IF($A7="",0,SUMIF(Ventas!$E$5:$E$104,$A7,Ventas!$G$5:$G$104))</f>
        <v>44</v>
      </c>
      <c r="E7" s="126">
        <f t="shared" si="0"/>
        <v>12.012</v>
      </c>
      <c r="F7" s="121">
        <f>IFERROR(INDEX(Insumos!$D$5:$D$124,MATCH($B7,Insumos!$A$5:$A$124,0)),0)</f>
        <v>2200</v>
      </c>
      <c r="G7" s="121">
        <f t="shared" si="1"/>
        <v>600.6</v>
      </c>
      <c r="H7" s="7" t="str">
        <f>IFERROR(INDEX(Insumos!$B$5:$B$124,MATCH($B7,Insumos!$A$5:$A$124,0)),"")</f>
        <v>Papa pastusa</v>
      </c>
    </row>
    <row r="8" spans="1:8" x14ac:dyDescent="0.3">
      <c r="A8" s="117" t="s">
        <v>232</v>
      </c>
      <c r="B8" s="117" t="s">
        <v>209</v>
      </c>
      <c r="C8" s="124">
        <v>4.4999999999999998E-2</v>
      </c>
      <c r="D8" s="125">
        <f>IF($A8="",0,SUMIF(Ventas!$E$5:$E$104,$A8,Ventas!$G$5:$G$104))</f>
        <v>44</v>
      </c>
      <c r="E8" s="126">
        <f t="shared" si="0"/>
        <v>1.98</v>
      </c>
      <c r="F8" s="121">
        <f>IFERROR(INDEX(Insumos!$D$5:$D$124,MATCH($B8,Insumos!$A$5:$A$124,0)),0)</f>
        <v>11500</v>
      </c>
      <c r="G8" s="121">
        <f t="shared" si="1"/>
        <v>517.5</v>
      </c>
      <c r="H8" s="7" t="str">
        <f>IFERROR(INDEX(Insumos!$B$5:$B$124,MATCH($B8,Insumos!$A$5:$A$124,0)),"")</f>
        <v>Aceite vegetal</v>
      </c>
    </row>
    <row r="9" spans="1:8" x14ac:dyDescent="0.3">
      <c r="A9" s="117" t="s">
        <v>233</v>
      </c>
      <c r="B9" s="117" t="s">
        <v>163</v>
      </c>
      <c r="C9" s="124">
        <v>0.41899999999999998</v>
      </c>
      <c r="D9" s="125">
        <f>IF($A9="",0,SUMIF(Ventas!$E$5:$E$104,$A9,Ventas!$G$5:$G$104))</f>
        <v>13</v>
      </c>
      <c r="E9" s="126">
        <f t="shared" si="0"/>
        <v>5.4470000000000001</v>
      </c>
      <c r="F9" s="121">
        <f>IFERROR(INDEX(Insumos!$D$5:$D$124,MATCH($B9,Insumos!$A$5:$A$124,0)),0)</f>
        <v>32000</v>
      </c>
      <c r="G9" s="121">
        <f t="shared" si="1"/>
        <v>13408</v>
      </c>
      <c r="H9" s="7" t="str">
        <f>IFERROR(INDEX(Insumos!$B$5:$B$124,MATCH($B9,Insumos!$A$5:$A$124,0)),"")</f>
        <v>Lomo de res</v>
      </c>
    </row>
    <row r="10" spans="1:8" x14ac:dyDescent="0.3">
      <c r="A10" s="117" t="s">
        <v>233</v>
      </c>
      <c r="B10" s="117" t="s">
        <v>196</v>
      </c>
      <c r="C10" s="124">
        <v>0.126</v>
      </c>
      <c r="D10" s="125">
        <f>IF($A10="",0,SUMIF(Ventas!$E$5:$E$104,$A10,Ventas!$G$5:$G$104))</f>
        <v>13</v>
      </c>
      <c r="E10" s="126">
        <f t="shared" si="0"/>
        <v>1.6379999999999999</v>
      </c>
      <c r="F10" s="121">
        <f>IFERROR(INDEX(Insumos!$D$5:$D$124,MATCH($B10,Insumos!$A$5:$A$124,0)),0)</f>
        <v>9800</v>
      </c>
      <c r="G10" s="121">
        <f t="shared" si="1"/>
        <v>1234.8</v>
      </c>
      <c r="H10" s="7" t="str">
        <f>IFERROR(INDEX(Insumos!$B$5:$B$124,MATCH($B10,Insumos!$A$5:$A$124,0)),"")</f>
        <v>Crema de leche</v>
      </c>
    </row>
    <row r="11" spans="1:8" x14ac:dyDescent="0.3">
      <c r="A11" s="117" t="s">
        <v>233</v>
      </c>
      <c r="B11" s="117" t="s">
        <v>175</v>
      </c>
      <c r="C11" s="124">
        <v>0.29399999999999998</v>
      </c>
      <c r="D11" s="125">
        <f>IF($A11="",0,SUMIF(Ventas!$E$5:$E$104,$A11,Ventas!$G$5:$G$104))</f>
        <v>13</v>
      </c>
      <c r="E11" s="126">
        <f t="shared" si="0"/>
        <v>3.8219999999999996</v>
      </c>
      <c r="F11" s="121">
        <f>IFERROR(INDEX(Insumos!$D$5:$D$124,MATCH($B11,Insumos!$A$5:$A$124,0)),0)</f>
        <v>2200</v>
      </c>
      <c r="G11" s="121">
        <f t="shared" si="1"/>
        <v>646.79999999999995</v>
      </c>
      <c r="H11" s="7" t="str">
        <f>IFERROR(INDEX(Insumos!$B$5:$B$124,MATCH($B11,Insumos!$A$5:$A$124,0)),"")</f>
        <v>Papa pastusa</v>
      </c>
    </row>
    <row r="12" spans="1:8" x14ac:dyDescent="0.3">
      <c r="A12" s="117" t="s">
        <v>233</v>
      </c>
      <c r="B12" s="117" t="s">
        <v>211</v>
      </c>
      <c r="C12" s="124">
        <v>4.2000000000000003E-2</v>
      </c>
      <c r="D12" s="125">
        <f>IF($A12="",0,SUMIF(Ventas!$E$5:$E$104,$A12,Ventas!$G$5:$G$104))</f>
        <v>13</v>
      </c>
      <c r="E12" s="126">
        <f t="shared" si="0"/>
        <v>0.54600000000000004</v>
      </c>
      <c r="F12" s="121">
        <f>IFERROR(INDEX(Insumos!$D$5:$D$124,MATCH($B12,Insumos!$A$5:$A$124,0)),0)</f>
        <v>16800</v>
      </c>
      <c r="G12" s="121">
        <f t="shared" si="1"/>
        <v>705.6</v>
      </c>
      <c r="H12" s="7" t="str">
        <f>IFERROR(INDEX(Insumos!$B$5:$B$124,MATCH($B12,Insumos!$A$5:$A$124,0)),"")</f>
        <v>Mantequilla</v>
      </c>
    </row>
    <row r="13" spans="1:8" x14ac:dyDescent="0.3">
      <c r="A13" s="117" t="s">
        <v>234</v>
      </c>
      <c r="B13" s="117" t="s">
        <v>165</v>
      </c>
      <c r="C13" s="124">
        <v>0.57599999999999996</v>
      </c>
      <c r="D13" s="125">
        <f>IF($A13="",0,SUMIF(Ventas!$E$5:$E$104,$A13,Ventas!$G$5:$G$104))</f>
        <v>35</v>
      </c>
      <c r="E13" s="126">
        <f t="shared" si="0"/>
        <v>20.16</v>
      </c>
      <c r="F13" s="121">
        <f>IFERROR(INDEX(Insumos!$D$5:$D$124,MATCH($B13,Insumos!$A$5:$A$124,0)),0)</f>
        <v>18000</v>
      </c>
      <c r="G13" s="121">
        <f t="shared" si="1"/>
        <v>10368</v>
      </c>
      <c r="H13" s="7" t="str">
        <f>IFERROR(INDEX(Insumos!$B$5:$B$124,MATCH($B13,Insumos!$A$5:$A$124,0)),"")</f>
        <v>Cerdo pernil</v>
      </c>
    </row>
    <row r="14" spans="1:8" x14ac:dyDescent="0.3">
      <c r="A14" s="117" t="s">
        <v>234</v>
      </c>
      <c r="B14" s="117" t="s">
        <v>213</v>
      </c>
      <c r="C14" s="124">
        <v>0.12</v>
      </c>
      <c r="D14" s="125">
        <f>IF($A14="",0,SUMIF(Ventas!$E$5:$E$104,$A14,Ventas!$G$5:$G$104))</f>
        <v>35</v>
      </c>
      <c r="E14" s="126">
        <f t="shared" si="0"/>
        <v>4.2</v>
      </c>
      <c r="F14" s="121">
        <f>IFERROR(INDEX(Insumos!$D$5:$D$124,MATCH($B14,Insumos!$A$5:$A$124,0)),0)</f>
        <v>7200</v>
      </c>
      <c r="G14" s="121">
        <f t="shared" si="1"/>
        <v>864</v>
      </c>
      <c r="H14" s="7" t="str">
        <f>IFERROR(INDEX(Insumos!$B$5:$B$124,MATCH($B14,Insumos!$A$5:$A$124,0)),"")</f>
        <v>Salsa de tomate</v>
      </c>
    </row>
    <row r="15" spans="1:8" x14ac:dyDescent="0.3">
      <c r="A15" s="117" t="s">
        <v>234</v>
      </c>
      <c r="B15" s="117" t="s">
        <v>171</v>
      </c>
      <c r="C15" s="124">
        <v>0.36</v>
      </c>
      <c r="D15" s="125">
        <f>IF($A15="",0,SUMIF(Ventas!$E$5:$E$104,$A15,Ventas!$G$5:$G$104))</f>
        <v>35</v>
      </c>
      <c r="E15" s="126">
        <f t="shared" si="0"/>
        <v>12.6</v>
      </c>
      <c r="F15" s="121">
        <f>IFERROR(INDEX(Insumos!$D$5:$D$124,MATCH($B15,Insumos!$A$5:$A$124,0)),0)</f>
        <v>4200</v>
      </c>
      <c r="G15" s="121">
        <f t="shared" si="1"/>
        <v>1512</v>
      </c>
      <c r="H15" s="7" t="str">
        <f>IFERROR(INDEX(Insumos!$B$5:$B$124,MATCH($B15,Insumos!$A$5:$A$124,0)),"")</f>
        <v>Arroz blanco</v>
      </c>
    </row>
    <row r="16" spans="1:8" x14ac:dyDescent="0.3">
      <c r="A16" s="117" t="s">
        <v>234</v>
      </c>
      <c r="B16" s="117" t="s">
        <v>177</v>
      </c>
      <c r="C16" s="124">
        <v>0.24</v>
      </c>
      <c r="D16" s="125">
        <f>IF($A16="",0,SUMIF(Ventas!$E$5:$E$104,$A16,Ventas!$G$5:$G$104))</f>
        <v>35</v>
      </c>
      <c r="E16" s="126">
        <f t="shared" si="0"/>
        <v>8.4</v>
      </c>
      <c r="F16" s="121">
        <f>IFERROR(INDEX(Insumos!$D$5:$D$124,MATCH($B16,Insumos!$A$5:$A$124,0)),0)</f>
        <v>2600</v>
      </c>
      <c r="G16" s="121">
        <f t="shared" si="1"/>
        <v>624</v>
      </c>
      <c r="H16" s="7" t="str">
        <f>IFERROR(INDEX(Insumos!$B$5:$B$124,MATCH($B16,Insumos!$A$5:$A$124,0)),"")</f>
        <v>Yuca</v>
      </c>
    </row>
    <row r="17" spans="1:8" x14ac:dyDescent="0.3">
      <c r="A17" s="117" t="s">
        <v>235</v>
      </c>
      <c r="B17" s="117" t="s">
        <v>167</v>
      </c>
      <c r="C17" s="124">
        <v>0.52</v>
      </c>
      <c r="D17" s="125">
        <f>IF($A17="",0,SUMIF(Ventas!$E$5:$E$104,$A17,Ventas!$G$5:$G$104))</f>
        <v>7</v>
      </c>
      <c r="E17" s="126">
        <f t="shared" si="0"/>
        <v>3.64</v>
      </c>
      <c r="F17" s="121">
        <f>IFERROR(INDEX(Insumos!$D$5:$D$124,MATCH($B17,Insumos!$A$5:$A$124,0)),0)</f>
        <v>24000</v>
      </c>
      <c r="G17" s="121">
        <f t="shared" si="1"/>
        <v>12480</v>
      </c>
      <c r="H17" s="7" t="str">
        <f>IFERROR(INDEX(Insumos!$B$5:$B$124,MATCH($B17,Insumos!$A$5:$A$124,0)),"")</f>
        <v>Filete de tilapia</v>
      </c>
    </row>
    <row r="18" spans="1:8" x14ac:dyDescent="0.3">
      <c r="A18" s="117" t="s">
        <v>235</v>
      </c>
      <c r="B18" s="117" t="s">
        <v>209</v>
      </c>
      <c r="C18" s="124">
        <v>7.0999999999999994E-2</v>
      </c>
      <c r="D18" s="125">
        <f>IF($A18="",0,SUMIF(Ventas!$E$5:$E$104,$A18,Ventas!$G$5:$G$104))</f>
        <v>7</v>
      </c>
      <c r="E18" s="126">
        <f t="shared" si="0"/>
        <v>0.49699999999999994</v>
      </c>
      <c r="F18" s="121">
        <f>IFERROR(INDEX(Insumos!$D$5:$D$124,MATCH($B18,Insumos!$A$5:$A$124,0)),0)</f>
        <v>11500</v>
      </c>
      <c r="G18" s="121">
        <f t="shared" si="1"/>
        <v>816.49999999999989</v>
      </c>
      <c r="H18" s="7" t="str">
        <f>IFERROR(INDEX(Insumos!$B$5:$B$124,MATCH($B18,Insumos!$A$5:$A$124,0)),"")</f>
        <v>Aceite vegetal</v>
      </c>
    </row>
    <row r="19" spans="1:8" x14ac:dyDescent="0.3">
      <c r="A19" s="117" t="s">
        <v>235</v>
      </c>
      <c r="B19" s="117" t="s">
        <v>179</v>
      </c>
      <c r="C19" s="124">
        <v>0.23599999999999999</v>
      </c>
      <c r="D19" s="125">
        <f>IF($A19="",0,SUMIF(Ventas!$E$5:$E$104,$A19,Ventas!$G$5:$G$104))</f>
        <v>7</v>
      </c>
      <c r="E19" s="126">
        <f t="shared" si="0"/>
        <v>1.6519999999999999</v>
      </c>
      <c r="F19" s="121">
        <f>IFERROR(INDEX(Insumos!$D$5:$D$124,MATCH($B19,Insumos!$A$5:$A$124,0)),0)</f>
        <v>3100</v>
      </c>
      <c r="G19" s="121">
        <f t="shared" si="1"/>
        <v>731.59999999999991</v>
      </c>
      <c r="H19" s="7" t="str">
        <f>IFERROR(INDEX(Insumos!$B$5:$B$124,MATCH($B19,Insumos!$A$5:$A$124,0)),"")</f>
        <v>Plátano maduro</v>
      </c>
    </row>
    <row r="20" spans="1:8" x14ac:dyDescent="0.3">
      <c r="A20" s="117" t="s">
        <v>235</v>
      </c>
      <c r="B20" s="117" t="s">
        <v>171</v>
      </c>
      <c r="C20" s="124">
        <v>0.35499999999999998</v>
      </c>
      <c r="D20" s="125">
        <f>IF($A20="",0,SUMIF(Ventas!$E$5:$E$104,$A20,Ventas!$G$5:$G$104))</f>
        <v>7</v>
      </c>
      <c r="E20" s="126">
        <f t="shared" si="0"/>
        <v>2.4849999999999999</v>
      </c>
      <c r="F20" s="121">
        <f>IFERROR(INDEX(Insumos!$D$5:$D$124,MATCH($B20,Insumos!$A$5:$A$124,0)),0)</f>
        <v>4200</v>
      </c>
      <c r="G20" s="121">
        <f t="shared" si="1"/>
        <v>1491</v>
      </c>
      <c r="H20" s="7" t="str">
        <f>IFERROR(INDEX(Insumos!$B$5:$B$124,MATCH($B20,Insumos!$A$5:$A$124,0)),"")</f>
        <v>Arroz blanco</v>
      </c>
    </row>
    <row r="21" spans="1:8" x14ac:dyDescent="0.3">
      <c r="A21" s="117" t="s">
        <v>236</v>
      </c>
      <c r="B21" s="117" t="s">
        <v>169</v>
      </c>
      <c r="C21" s="124">
        <v>0.33100000000000002</v>
      </c>
      <c r="D21" s="125">
        <f>IF($A21="",0,SUMIF(Ventas!$E$5:$E$104,$A21,Ventas!$G$5:$G$104))</f>
        <v>5</v>
      </c>
      <c r="E21" s="126">
        <f t="shared" si="0"/>
        <v>1.655</v>
      </c>
      <c r="F21" s="121">
        <f>IFERROR(INDEX(Insumos!$D$5:$D$124,MATCH($B21,Insumos!$A$5:$A$124,0)),0)</f>
        <v>46000</v>
      </c>
      <c r="G21" s="121">
        <f t="shared" si="1"/>
        <v>15226</v>
      </c>
      <c r="H21" s="7" t="str">
        <f>IFERROR(INDEX(Insumos!$B$5:$B$124,MATCH($B21,Insumos!$A$5:$A$124,0)),"")</f>
        <v>Camarón pelado</v>
      </c>
    </row>
    <row r="22" spans="1:8" x14ac:dyDescent="0.3">
      <c r="A22" s="117" t="s">
        <v>236</v>
      </c>
      <c r="B22" s="117" t="s">
        <v>171</v>
      </c>
      <c r="C22" s="124">
        <v>0.47199999999999998</v>
      </c>
      <c r="D22" s="125">
        <f>IF($A22="",0,SUMIF(Ventas!$E$5:$E$104,$A22,Ventas!$G$5:$G$104))</f>
        <v>5</v>
      </c>
      <c r="E22" s="126">
        <f t="shared" si="0"/>
        <v>2.36</v>
      </c>
      <c r="F22" s="121">
        <f>IFERROR(INDEX(Insumos!$D$5:$D$124,MATCH($B22,Insumos!$A$5:$A$124,0)),0)</f>
        <v>4200</v>
      </c>
      <c r="G22" s="121">
        <f t="shared" si="1"/>
        <v>1982.3999999999999</v>
      </c>
      <c r="H22" s="7" t="str">
        <f>IFERROR(INDEX(Insumos!$B$5:$B$124,MATCH($B22,Insumos!$A$5:$A$124,0)),"")</f>
        <v>Arroz blanco</v>
      </c>
    </row>
    <row r="23" spans="1:8" x14ac:dyDescent="0.3">
      <c r="A23" s="117" t="s">
        <v>236</v>
      </c>
      <c r="B23" s="117" t="s">
        <v>183</v>
      </c>
      <c r="C23" s="124">
        <v>0.11799999999999999</v>
      </c>
      <c r="D23" s="125">
        <f>IF($A23="",0,SUMIF(Ventas!$E$5:$E$104,$A23,Ventas!$G$5:$G$104))</f>
        <v>5</v>
      </c>
      <c r="E23" s="126">
        <f t="shared" si="0"/>
        <v>0.59</v>
      </c>
      <c r="F23" s="121">
        <f>IFERROR(INDEX(Insumos!$D$5:$D$124,MATCH($B23,Insumos!$A$5:$A$124,0)),0)</f>
        <v>2900</v>
      </c>
      <c r="G23" s="121">
        <f t="shared" si="1"/>
        <v>342.2</v>
      </c>
      <c r="H23" s="7" t="str">
        <f>IFERROR(INDEX(Insumos!$B$5:$B$124,MATCH($B23,Insumos!$A$5:$A$124,0)),"")</f>
        <v>Cebolla cabezona</v>
      </c>
    </row>
    <row r="24" spans="1:8" x14ac:dyDescent="0.3">
      <c r="A24" s="117" t="s">
        <v>236</v>
      </c>
      <c r="B24" s="117" t="s">
        <v>209</v>
      </c>
      <c r="C24" s="124">
        <v>4.7E-2</v>
      </c>
      <c r="D24" s="125">
        <f>IF($A24="",0,SUMIF(Ventas!$E$5:$E$104,$A24,Ventas!$G$5:$G$104))</f>
        <v>5</v>
      </c>
      <c r="E24" s="126">
        <f t="shared" si="0"/>
        <v>0.23499999999999999</v>
      </c>
      <c r="F24" s="121">
        <f>IFERROR(INDEX(Insumos!$D$5:$D$124,MATCH($B24,Insumos!$A$5:$A$124,0)),0)</f>
        <v>11500</v>
      </c>
      <c r="G24" s="121">
        <f t="shared" si="1"/>
        <v>540.5</v>
      </c>
      <c r="H24" s="7" t="str">
        <f>IFERROR(INDEX(Insumos!$B$5:$B$124,MATCH($B24,Insumos!$A$5:$A$124,0)),"")</f>
        <v>Aceite vegetal</v>
      </c>
    </row>
    <row r="25" spans="1:8" x14ac:dyDescent="0.3">
      <c r="A25" s="117" t="s">
        <v>237</v>
      </c>
      <c r="B25" s="117" t="s">
        <v>165</v>
      </c>
      <c r="C25" s="124">
        <v>0.46800000000000003</v>
      </c>
      <c r="D25" s="125">
        <f>IF($A25="",0,SUMIF(Ventas!$E$5:$E$104,$A25,Ventas!$G$5:$G$104))</f>
        <v>9</v>
      </c>
      <c r="E25" s="126">
        <f t="shared" si="0"/>
        <v>4.2120000000000006</v>
      </c>
      <c r="F25" s="121">
        <f>IFERROR(INDEX(Insumos!$D$5:$D$124,MATCH($B25,Insumos!$A$5:$A$124,0)),0)</f>
        <v>18000</v>
      </c>
      <c r="G25" s="121">
        <f t="shared" si="1"/>
        <v>8424</v>
      </c>
      <c r="H25" s="7" t="str">
        <f>IFERROR(INDEX(Insumos!$B$5:$B$124,MATCH($B25,Insumos!$A$5:$A$124,0)),"")</f>
        <v>Cerdo pernil</v>
      </c>
    </row>
    <row r="26" spans="1:8" x14ac:dyDescent="0.3">
      <c r="A26" s="117" t="s">
        <v>237</v>
      </c>
      <c r="B26" s="117" t="s">
        <v>171</v>
      </c>
      <c r="C26" s="124">
        <v>0.56100000000000005</v>
      </c>
      <c r="D26" s="125">
        <f>IF($A26="",0,SUMIF(Ventas!$E$5:$E$104,$A26,Ventas!$G$5:$G$104))</f>
        <v>9</v>
      </c>
      <c r="E26" s="126">
        <f t="shared" si="0"/>
        <v>5.0490000000000004</v>
      </c>
      <c r="F26" s="121">
        <f>IFERROR(INDEX(Insumos!$D$5:$D$124,MATCH($B26,Insumos!$A$5:$A$124,0)),0)</f>
        <v>4200</v>
      </c>
      <c r="G26" s="121">
        <f t="shared" si="1"/>
        <v>2356.2000000000003</v>
      </c>
      <c r="H26" s="7" t="str">
        <f>IFERROR(INDEX(Insumos!$B$5:$B$124,MATCH($B26,Insumos!$A$5:$A$124,0)),"")</f>
        <v>Arroz blanco</v>
      </c>
    </row>
    <row r="27" spans="1:8" x14ac:dyDescent="0.3">
      <c r="A27" s="117" t="s">
        <v>237</v>
      </c>
      <c r="B27" s="117" t="s">
        <v>179</v>
      </c>
      <c r="C27" s="124">
        <v>0.374</v>
      </c>
      <c r="D27" s="125">
        <f>IF($A27="",0,SUMIF(Ventas!$E$5:$E$104,$A27,Ventas!$G$5:$G$104))</f>
        <v>9</v>
      </c>
      <c r="E27" s="126">
        <f t="shared" si="0"/>
        <v>3.3660000000000001</v>
      </c>
      <c r="F27" s="121">
        <f>IFERROR(INDEX(Insumos!$D$5:$D$124,MATCH($B27,Insumos!$A$5:$A$124,0)),0)</f>
        <v>3100</v>
      </c>
      <c r="G27" s="121">
        <f t="shared" si="1"/>
        <v>1159.4000000000001</v>
      </c>
      <c r="H27" s="7" t="str">
        <f>IFERROR(INDEX(Insumos!$B$5:$B$124,MATCH($B27,Insumos!$A$5:$A$124,0)),"")</f>
        <v>Plátano maduro</v>
      </c>
    </row>
    <row r="28" spans="1:8" x14ac:dyDescent="0.3">
      <c r="A28" s="117" t="s">
        <v>237</v>
      </c>
      <c r="B28" s="117" t="s">
        <v>201</v>
      </c>
      <c r="C28" s="124">
        <v>3.117</v>
      </c>
      <c r="D28" s="125">
        <f>IF($A28="",0,SUMIF(Ventas!$E$5:$E$104,$A28,Ventas!$G$5:$G$104))</f>
        <v>9</v>
      </c>
      <c r="E28" s="126">
        <f t="shared" si="0"/>
        <v>28.053000000000001</v>
      </c>
      <c r="F28" s="121">
        <f>IFERROR(INDEX(Insumos!$D$5:$D$124,MATCH($B28,Insumos!$A$5:$A$124,0)),0)</f>
        <v>620</v>
      </c>
      <c r="G28" s="121">
        <f t="shared" si="1"/>
        <v>1932.54</v>
      </c>
      <c r="H28" s="7" t="str">
        <f>IFERROR(INDEX(Insumos!$B$5:$B$124,MATCH($B28,Insumos!$A$5:$A$124,0)),"")</f>
        <v>Huevo</v>
      </c>
    </row>
    <row r="29" spans="1:8" x14ac:dyDescent="0.3">
      <c r="A29" s="117" t="s">
        <v>237</v>
      </c>
      <c r="B29" s="117" t="s">
        <v>175</v>
      </c>
      <c r="C29" s="124">
        <v>0.312</v>
      </c>
      <c r="D29" s="125">
        <f>IF($A29="",0,SUMIF(Ventas!$E$5:$E$104,$A29,Ventas!$G$5:$G$104))</f>
        <v>9</v>
      </c>
      <c r="E29" s="126">
        <f t="shared" si="0"/>
        <v>2.8079999999999998</v>
      </c>
      <c r="F29" s="121">
        <f>IFERROR(INDEX(Insumos!$D$5:$D$124,MATCH($B29,Insumos!$A$5:$A$124,0)),0)</f>
        <v>2200</v>
      </c>
      <c r="G29" s="121">
        <f t="shared" si="1"/>
        <v>686.4</v>
      </c>
      <c r="H29" s="7" t="str">
        <f>IFERROR(INDEX(Insumos!$B$5:$B$124,MATCH($B29,Insumos!$A$5:$A$124,0)),"")</f>
        <v>Papa pastusa</v>
      </c>
    </row>
    <row r="30" spans="1:8" x14ac:dyDescent="0.3">
      <c r="A30" s="117" t="s">
        <v>238</v>
      </c>
      <c r="B30" s="117" t="s">
        <v>163</v>
      </c>
      <c r="C30" s="124">
        <v>0.19</v>
      </c>
      <c r="D30" s="125">
        <f>IF($A30="",0,SUMIF(Ventas!$E$5:$E$104,$A30,Ventas!$G$5:$G$104))</f>
        <v>76</v>
      </c>
      <c r="E30" s="126">
        <f t="shared" si="0"/>
        <v>14.44</v>
      </c>
      <c r="F30" s="121">
        <f>IFERROR(INDEX(Insumos!$D$5:$D$124,MATCH($B30,Insumos!$A$5:$A$124,0)),0)</f>
        <v>32000</v>
      </c>
      <c r="G30" s="121">
        <f t="shared" si="1"/>
        <v>6080</v>
      </c>
      <c r="H30" s="7" t="str">
        <f>IFERROR(INDEX(Insumos!$B$5:$B$124,MATCH($B30,Insumos!$A$5:$A$124,0)),"")</f>
        <v>Lomo de res</v>
      </c>
    </row>
    <row r="31" spans="1:8" x14ac:dyDescent="0.3">
      <c r="A31" s="117" t="s">
        <v>238</v>
      </c>
      <c r="B31" s="117" t="s">
        <v>205</v>
      </c>
      <c r="C31" s="124">
        <v>1.359</v>
      </c>
      <c r="D31" s="125">
        <f>IF($A31="",0,SUMIF(Ventas!$E$5:$E$104,$A31,Ventas!$G$5:$G$104))</f>
        <v>76</v>
      </c>
      <c r="E31" s="126">
        <f t="shared" si="0"/>
        <v>103.28399999999999</v>
      </c>
      <c r="F31" s="121">
        <f>IFERROR(INDEX(Insumos!$D$5:$D$124,MATCH($B31,Insumos!$A$5:$A$124,0)),0)</f>
        <v>1400</v>
      </c>
      <c r="G31" s="121">
        <f t="shared" si="1"/>
        <v>1902.6</v>
      </c>
      <c r="H31" s="7" t="str">
        <f>IFERROR(INDEX(Insumos!$B$5:$B$124,MATCH($B31,Insumos!$A$5:$A$124,0)),"")</f>
        <v>Pan de hamburguesa</v>
      </c>
    </row>
    <row r="32" spans="1:8" x14ac:dyDescent="0.3">
      <c r="A32" s="117" t="s">
        <v>238</v>
      </c>
      <c r="B32" s="117" t="s">
        <v>192</v>
      </c>
      <c r="C32" s="124">
        <v>5.3999999999999999E-2</v>
      </c>
      <c r="D32" s="125">
        <f>IF($A32="",0,SUMIF(Ventas!$E$5:$E$104,$A32,Ventas!$G$5:$G$104))</f>
        <v>76</v>
      </c>
      <c r="E32" s="126">
        <f t="shared" si="0"/>
        <v>4.1040000000000001</v>
      </c>
      <c r="F32" s="121">
        <f>IFERROR(INDEX(Insumos!$D$5:$D$124,MATCH($B32,Insumos!$A$5:$A$124,0)),0)</f>
        <v>21000</v>
      </c>
      <c r="G32" s="121">
        <f t="shared" si="1"/>
        <v>1134</v>
      </c>
      <c r="H32" s="7" t="str">
        <f>IFERROR(INDEX(Insumos!$B$5:$B$124,MATCH($B32,Insumos!$A$5:$A$124,0)),"")</f>
        <v>Queso mozzarella</v>
      </c>
    </row>
    <row r="33" spans="1:8" x14ac:dyDescent="0.3">
      <c r="A33" s="117" t="s">
        <v>238</v>
      </c>
      <c r="B33" s="117" t="s">
        <v>181</v>
      </c>
      <c r="C33" s="124">
        <v>5.3999999999999999E-2</v>
      </c>
      <c r="D33" s="125">
        <f>IF($A33="",0,SUMIF(Ventas!$E$5:$E$104,$A33,Ventas!$G$5:$G$104))</f>
        <v>76</v>
      </c>
      <c r="E33" s="126">
        <f t="shared" si="0"/>
        <v>4.1040000000000001</v>
      </c>
      <c r="F33" s="121">
        <f>IFERROR(INDEX(Insumos!$D$5:$D$124,MATCH($B33,Insumos!$A$5:$A$124,0)),0)</f>
        <v>3400</v>
      </c>
      <c r="G33" s="121">
        <f t="shared" si="1"/>
        <v>183.6</v>
      </c>
      <c r="H33" s="7" t="str">
        <f>IFERROR(INDEX(Insumos!$B$5:$B$124,MATCH($B33,Insumos!$A$5:$A$124,0)),"")</f>
        <v>Tomate</v>
      </c>
    </row>
    <row r="34" spans="1:8" x14ac:dyDescent="0.3">
      <c r="A34" s="117" t="s">
        <v>238</v>
      </c>
      <c r="B34" s="117" t="s">
        <v>175</v>
      </c>
      <c r="C34" s="124">
        <v>0.16300000000000001</v>
      </c>
      <c r="D34" s="125">
        <f>IF($A34="",0,SUMIF(Ventas!$E$5:$E$104,$A34,Ventas!$G$5:$G$104))</f>
        <v>76</v>
      </c>
      <c r="E34" s="126">
        <f t="shared" si="0"/>
        <v>12.388</v>
      </c>
      <c r="F34" s="121">
        <f>IFERROR(INDEX(Insumos!$D$5:$D$124,MATCH($B34,Insumos!$A$5:$A$124,0)),0)</f>
        <v>2200</v>
      </c>
      <c r="G34" s="121">
        <f t="shared" si="1"/>
        <v>358.6</v>
      </c>
      <c r="H34" s="7" t="str">
        <f>IFERROR(INDEX(Insumos!$B$5:$B$124,MATCH($B34,Insumos!$A$5:$A$124,0)),"")</f>
        <v>Papa pastusa</v>
      </c>
    </row>
    <row r="35" spans="1:8" x14ac:dyDescent="0.3">
      <c r="A35" s="117" t="s">
        <v>239</v>
      </c>
      <c r="B35" s="117" t="s">
        <v>163</v>
      </c>
      <c r="C35" s="124">
        <v>0.24099999999999999</v>
      </c>
      <c r="D35" s="125">
        <f>IF($A35="",0,SUMIF(Ventas!$E$5:$E$104,$A35,Ventas!$G$5:$G$104))</f>
        <v>7</v>
      </c>
      <c r="E35" s="126">
        <f t="shared" si="0"/>
        <v>1.6869999999999998</v>
      </c>
      <c r="F35" s="121">
        <f>IFERROR(INDEX(Insumos!$D$5:$D$124,MATCH($B35,Insumos!$A$5:$A$124,0)),0)</f>
        <v>32000</v>
      </c>
      <c r="G35" s="121">
        <f t="shared" si="1"/>
        <v>7712</v>
      </c>
      <c r="H35" s="7" t="str">
        <f>IFERROR(INDEX(Insumos!$B$5:$B$124,MATCH($B35,Insumos!$A$5:$A$124,0)),"")</f>
        <v>Lomo de res</v>
      </c>
    </row>
    <row r="36" spans="1:8" x14ac:dyDescent="0.3">
      <c r="A36" s="117" t="s">
        <v>239</v>
      </c>
      <c r="B36" s="117" t="s">
        <v>205</v>
      </c>
      <c r="C36" s="124">
        <v>1.0049999999999999</v>
      </c>
      <c r="D36" s="125">
        <f>IF($A36="",0,SUMIF(Ventas!$E$5:$E$104,$A36,Ventas!$G$5:$G$104))</f>
        <v>7</v>
      </c>
      <c r="E36" s="126">
        <f t="shared" si="0"/>
        <v>7.0349999999999993</v>
      </c>
      <c r="F36" s="121">
        <f>IFERROR(INDEX(Insumos!$D$5:$D$124,MATCH($B36,Insumos!$A$5:$A$124,0)),0)</f>
        <v>1400</v>
      </c>
      <c r="G36" s="121">
        <f t="shared" si="1"/>
        <v>1406.9999999999998</v>
      </c>
      <c r="H36" s="7" t="str">
        <f>IFERROR(INDEX(Insumos!$B$5:$B$124,MATCH($B36,Insumos!$A$5:$A$124,0)),"")</f>
        <v>Pan de hamburguesa</v>
      </c>
    </row>
    <row r="37" spans="1:8" x14ac:dyDescent="0.3">
      <c r="A37" s="117" t="s">
        <v>239</v>
      </c>
      <c r="B37" s="117" t="s">
        <v>192</v>
      </c>
      <c r="C37" s="124">
        <v>7.0000000000000007E-2</v>
      </c>
      <c r="D37" s="125">
        <f>IF($A37="",0,SUMIF(Ventas!$E$5:$E$104,$A37,Ventas!$G$5:$G$104))</f>
        <v>7</v>
      </c>
      <c r="E37" s="126">
        <f t="shared" si="0"/>
        <v>0.49000000000000005</v>
      </c>
      <c r="F37" s="121">
        <f>IFERROR(INDEX(Insumos!$D$5:$D$124,MATCH($B37,Insumos!$A$5:$A$124,0)),0)</f>
        <v>21000</v>
      </c>
      <c r="G37" s="121">
        <f t="shared" si="1"/>
        <v>1470.0000000000002</v>
      </c>
      <c r="H37" s="7" t="str">
        <f>IFERROR(INDEX(Insumos!$B$5:$B$124,MATCH($B37,Insumos!$A$5:$A$124,0)),"")</f>
        <v>Queso mozzarella</v>
      </c>
    </row>
    <row r="38" spans="1:8" x14ac:dyDescent="0.3">
      <c r="A38" s="117" t="s">
        <v>239</v>
      </c>
      <c r="B38" s="117" t="s">
        <v>181</v>
      </c>
      <c r="C38" s="124">
        <v>0.04</v>
      </c>
      <c r="D38" s="125">
        <f>IF($A38="",0,SUMIF(Ventas!$E$5:$E$104,$A38,Ventas!$G$5:$G$104))</f>
        <v>7</v>
      </c>
      <c r="E38" s="126">
        <f t="shared" si="0"/>
        <v>0.28000000000000003</v>
      </c>
      <c r="F38" s="121">
        <f>IFERROR(INDEX(Insumos!$D$5:$D$124,MATCH($B38,Insumos!$A$5:$A$124,0)),0)</f>
        <v>3400</v>
      </c>
      <c r="G38" s="121">
        <f t="shared" si="1"/>
        <v>136</v>
      </c>
      <c r="H38" s="7" t="str">
        <f>IFERROR(INDEX(Insumos!$B$5:$B$124,MATCH($B38,Insumos!$A$5:$A$124,0)),"")</f>
        <v>Tomate</v>
      </c>
    </row>
    <row r="39" spans="1:8" x14ac:dyDescent="0.3">
      <c r="A39" s="117" t="s">
        <v>239</v>
      </c>
      <c r="B39" s="117" t="s">
        <v>175</v>
      </c>
      <c r="C39" s="124">
        <v>0.14099999999999999</v>
      </c>
      <c r="D39" s="125">
        <f>IF($A39="",0,SUMIF(Ventas!$E$5:$E$104,$A39,Ventas!$G$5:$G$104))</f>
        <v>7</v>
      </c>
      <c r="E39" s="126">
        <f t="shared" si="0"/>
        <v>0.98699999999999988</v>
      </c>
      <c r="F39" s="121">
        <f>IFERROR(INDEX(Insumos!$D$5:$D$124,MATCH($B39,Insumos!$A$5:$A$124,0)),0)</f>
        <v>2200</v>
      </c>
      <c r="G39" s="121">
        <f t="shared" si="1"/>
        <v>310.2</v>
      </c>
      <c r="H39" s="7" t="str">
        <f>IFERROR(INDEX(Insumos!$B$5:$B$124,MATCH($B39,Insumos!$A$5:$A$124,0)),"")</f>
        <v>Papa pastusa</v>
      </c>
    </row>
    <row r="40" spans="1:8" x14ac:dyDescent="0.3">
      <c r="A40" s="117" t="s">
        <v>240</v>
      </c>
      <c r="B40" s="117" t="s">
        <v>160</v>
      </c>
      <c r="C40" s="124">
        <v>0.24399999999999999</v>
      </c>
      <c r="D40" s="125">
        <f>IF($A40="",0,SUMIF(Ventas!$E$5:$E$104,$A40,Ventas!$G$5:$G$104))</f>
        <v>18</v>
      </c>
      <c r="E40" s="126">
        <f t="shared" si="0"/>
        <v>4.3919999999999995</v>
      </c>
      <c r="F40" s="121">
        <f>IFERROR(INDEX(Insumos!$D$5:$D$124,MATCH($B40,Insumos!$A$5:$A$124,0)),0)</f>
        <v>14500</v>
      </c>
      <c r="G40" s="121">
        <f t="shared" si="1"/>
        <v>3538</v>
      </c>
      <c r="H40" s="7" t="str">
        <f>IFERROR(INDEX(Insumos!$B$5:$B$124,MATCH($B40,Insumos!$A$5:$A$124,0)),"")</f>
        <v>Pechuga de pollo</v>
      </c>
    </row>
    <row r="41" spans="1:8" x14ac:dyDescent="0.3">
      <c r="A41" s="117" t="s">
        <v>240</v>
      </c>
      <c r="B41" s="117" t="s">
        <v>207</v>
      </c>
      <c r="C41" s="124">
        <v>4.57</v>
      </c>
      <c r="D41" s="125">
        <f>IF($A41="",0,SUMIF(Ventas!$E$5:$E$104,$A41,Ventas!$G$5:$G$104))</f>
        <v>18</v>
      </c>
      <c r="E41" s="126">
        <f t="shared" si="0"/>
        <v>82.26</v>
      </c>
      <c r="F41" s="121">
        <f>IFERROR(INDEX(Insumos!$D$5:$D$124,MATCH($B41,Insumos!$A$5:$A$124,0)),0)</f>
        <v>700</v>
      </c>
      <c r="G41" s="121">
        <f t="shared" si="1"/>
        <v>3199</v>
      </c>
      <c r="H41" s="7" t="str">
        <f>IFERROR(INDEX(Insumos!$B$5:$B$124,MATCH($B41,Insumos!$A$5:$A$124,0)),"")</f>
        <v>Tortilla de maíz</v>
      </c>
    </row>
    <row r="42" spans="1:8" x14ac:dyDescent="0.3">
      <c r="A42" s="117" t="s">
        <v>240</v>
      </c>
      <c r="B42" s="117" t="s">
        <v>188</v>
      </c>
      <c r="C42" s="124">
        <v>0.45700000000000002</v>
      </c>
      <c r="D42" s="125">
        <f>IF($A42="",0,SUMIF(Ventas!$E$5:$E$104,$A42,Ventas!$G$5:$G$104))</f>
        <v>18</v>
      </c>
      <c r="E42" s="126">
        <f t="shared" si="0"/>
        <v>8.2260000000000009</v>
      </c>
      <c r="F42" s="121">
        <f>IFERROR(INDEX(Insumos!$D$5:$D$124,MATCH($B42,Insumos!$A$5:$A$124,0)),0)</f>
        <v>3600</v>
      </c>
      <c r="G42" s="121">
        <f t="shared" si="1"/>
        <v>1645.2</v>
      </c>
      <c r="H42" s="7" t="str">
        <f>IFERROR(INDEX(Insumos!$B$5:$B$124,MATCH($B42,Insumos!$A$5:$A$124,0)),"")</f>
        <v>Aguacate</v>
      </c>
    </row>
    <row r="43" spans="1:8" x14ac:dyDescent="0.3">
      <c r="A43" s="117" t="s">
        <v>240</v>
      </c>
      <c r="B43" s="117" t="s">
        <v>190</v>
      </c>
      <c r="C43" s="124">
        <v>4.5999999999999999E-2</v>
      </c>
      <c r="D43" s="125">
        <f>IF($A43="",0,SUMIF(Ventas!$E$5:$E$104,$A43,Ventas!$G$5:$G$104))</f>
        <v>18</v>
      </c>
      <c r="E43" s="126">
        <f t="shared" si="0"/>
        <v>0.82799999999999996</v>
      </c>
      <c r="F43" s="121">
        <f>IFERROR(INDEX(Insumos!$D$5:$D$124,MATCH($B43,Insumos!$A$5:$A$124,0)),0)</f>
        <v>3200</v>
      </c>
      <c r="G43" s="121">
        <f t="shared" si="1"/>
        <v>147.19999999999999</v>
      </c>
      <c r="H43" s="7" t="str">
        <f>IFERROR(INDEX(Insumos!$B$5:$B$124,MATCH($B43,Insumos!$A$5:$A$124,0)),"")</f>
        <v>Limón</v>
      </c>
    </row>
    <row r="44" spans="1:8" x14ac:dyDescent="0.3">
      <c r="A44" s="117" t="s">
        <v>241</v>
      </c>
      <c r="B44" s="117" t="s">
        <v>205</v>
      </c>
      <c r="C44" s="124">
        <v>3.2330000000000001</v>
      </c>
      <c r="D44" s="125">
        <f>IF($A44="",0,SUMIF(Ventas!$E$5:$E$104,$A44,Ventas!$G$5:$G$104))</f>
        <v>24</v>
      </c>
      <c r="E44" s="126">
        <f t="shared" si="0"/>
        <v>77.591999999999999</v>
      </c>
      <c r="F44" s="121">
        <f>IFERROR(INDEX(Insumos!$D$5:$D$124,MATCH($B44,Insumos!$A$5:$A$124,0)),0)</f>
        <v>1400</v>
      </c>
      <c r="G44" s="121">
        <f t="shared" si="1"/>
        <v>4526.2</v>
      </c>
      <c r="H44" s="7" t="str">
        <f>IFERROR(INDEX(Insumos!$B$5:$B$124,MATCH($B44,Insumos!$A$5:$A$124,0)),"")</f>
        <v>Pan de hamburguesa</v>
      </c>
    </row>
    <row r="45" spans="1:8" x14ac:dyDescent="0.3">
      <c r="A45" s="117" t="s">
        <v>241</v>
      </c>
      <c r="B45" s="117" t="s">
        <v>213</v>
      </c>
      <c r="C45" s="124">
        <v>0.129</v>
      </c>
      <c r="D45" s="125">
        <f>IF($A45="",0,SUMIF(Ventas!$E$5:$E$104,$A45,Ventas!$G$5:$G$104))</f>
        <v>24</v>
      </c>
      <c r="E45" s="126">
        <f t="shared" si="0"/>
        <v>3.0960000000000001</v>
      </c>
      <c r="F45" s="121">
        <f>IFERROR(INDEX(Insumos!$D$5:$D$124,MATCH($B45,Insumos!$A$5:$A$124,0)),0)</f>
        <v>7200</v>
      </c>
      <c r="G45" s="121">
        <f t="shared" si="1"/>
        <v>928.80000000000007</v>
      </c>
      <c r="H45" s="7" t="str">
        <f>IFERROR(INDEX(Insumos!$B$5:$B$124,MATCH($B45,Insumos!$A$5:$A$124,0)),"")</f>
        <v>Salsa de tomate</v>
      </c>
    </row>
    <row r="46" spans="1:8" x14ac:dyDescent="0.3">
      <c r="A46" s="117" t="s">
        <v>241</v>
      </c>
      <c r="B46" s="117" t="s">
        <v>183</v>
      </c>
      <c r="C46" s="124">
        <v>9.7000000000000003E-2</v>
      </c>
      <c r="D46" s="125">
        <f>IF($A46="",0,SUMIF(Ventas!$E$5:$E$104,$A46,Ventas!$G$5:$G$104))</f>
        <v>24</v>
      </c>
      <c r="E46" s="126">
        <f t="shared" si="0"/>
        <v>2.3280000000000003</v>
      </c>
      <c r="F46" s="121">
        <f>IFERROR(INDEX(Insumos!$D$5:$D$124,MATCH($B46,Insumos!$A$5:$A$124,0)),0)</f>
        <v>2900</v>
      </c>
      <c r="G46" s="121">
        <f t="shared" si="1"/>
        <v>281.3</v>
      </c>
      <c r="H46" s="7" t="str">
        <f>IFERROR(INDEX(Insumos!$B$5:$B$124,MATCH($B46,Insumos!$A$5:$A$124,0)),"")</f>
        <v>Cebolla cabezona</v>
      </c>
    </row>
    <row r="47" spans="1:8" x14ac:dyDescent="0.3">
      <c r="A47" s="117" t="s">
        <v>241</v>
      </c>
      <c r="B47" s="117" t="s">
        <v>175</v>
      </c>
      <c r="C47" s="124">
        <v>0.25900000000000001</v>
      </c>
      <c r="D47" s="125">
        <f>IF($A47="",0,SUMIF(Ventas!$E$5:$E$104,$A47,Ventas!$G$5:$G$104))</f>
        <v>24</v>
      </c>
      <c r="E47" s="126">
        <f t="shared" si="0"/>
        <v>6.2160000000000002</v>
      </c>
      <c r="F47" s="121">
        <f>IFERROR(INDEX(Insumos!$D$5:$D$124,MATCH($B47,Insumos!$A$5:$A$124,0)),0)</f>
        <v>2200</v>
      </c>
      <c r="G47" s="121">
        <f t="shared" si="1"/>
        <v>569.80000000000007</v>
      </c>
      <c r="H47" s="7" t="str">
        <f>IFERROR(INDEX(Insumos!$B$5:$B$124,MATCH($B47,Insumos!$A$5:$A$124,0)),"")</f>
        <v>Papa pastusa</v>
      </c>
    </row>
    <row r="48" spans="1:8" x14ac:dyDescent="0.3">
      <c r="A48" s="117" t="s">
        <v>242</v>
      </c>
      <c r="B48" s="117" t="s">
        <v>175</v>
      </c>
      <c r="C48" s="124">
        <v>1.1739999999999999</v>
      </c>
      <c r="D48" s="125">
        <f>IF($A48="",0,SUMIF(Ventas!$E$5:$E$104,$A48,Ventas!$G$5:$G$104))</f>
        <v>29</v>
      </c>
      <c r="E48" s="126">
        <f t="shared" si="0"/>
        <v>34.045999999999999</v>
      </c>
      <c r="F48" s="121">
        <f>IFERROR(INDEX(Insumos!$D$5:$D$124,MATCH($B48,Insumos!$A$5:$A$124,0)),0)</f>
        <v>2200</v>
      </c>
      <c r="G48" s="121">
        <f t="shared" si="1"/>
        <v>2582.7999999999997</v>
      </c>
      <c r="H48" s="7" t="str">
        <f>IFERROR(INDEX(Insumos!$B$5:$B$124,MATCH($B48,Insumos!$A$5:$A$124,0)),"")</f>
        <v>Papa pastusa</v>
      </c>
    </row>
    <row r="49" spans="1:8" x14ac:dyDescent="0.3">
      <c r="A49" s="117" t="s">
        <v>242</v>
      </c>
      <c r="B49" s="117" t="s">
        <v>213</v>
      </c>
      <c r="C49" s="124">
        <v>0.23499999999999999</v>
      </c>
      <c r="D49" s="125">
        <f>IF($A49="",0,SUMIF(Ventas!$E$5:$E$104,$A49,Ventas!$G$5:$G$104))</f>
        <v>29</v>
      </c>
      <c r="E49" s="126">
        <f t="shared" si="0"/>
        <v>6.8149999999999995</v>
      </c>
      <c r="F49" s="121">
        <f>IFERROR(INDEX(Insumos!$D$5:$D$124,MATCH($B49,Insumos!$A$5:$A$124,0)),0)</f>
        <v>7200</v>
      </c>
      <c r="G49" s="121">
        <f t="shared" si="1"/>
        <v>1692</v>
      </c>
      <c r="H49" s="7" t="str">
        <f>IFERROR(INDEX(Insumos!$B$5:$B$124,MATCH($B49,Insumos!$A$5:$A$124,0)),"")</f>
        <v>Salsa de tomate</v>
      </c>
    </row>
    <row r="50" spans="1:8" x14ac:dyDescent="0.3">
      <c r="A50" s="117" t="s">
        <v>242</v>
      </c>
      <c r="B50" s="117" t="s">
        <v>209</v>
      </c>
      <c r="C50" s="124">
        <v>0.188</v>
      </c>
      <c r="D50" s="125">
        <f>IF($A50="",0,SUMIF(Ventas!$E$5:$E$104,$A50,Ventas!$G$5:$G$104))</f>
        <v>29</v>
      </c>
      <c r="E50" s="126">
        <f t="shared" si="0"/>
        <v>5.452</v>
      </c>
      <c r="F50" s="121">
        <f>IFERROR(INDEX(Insumos!$D$5:$D$124,MATCH($B50,Insumos!$A$5:$A$124,0)),0)</f>
        <v>11500</v>
      </c>
      <c r="G50" s="121">
        <f t="shared" si="1"/>
        <v>2162</v>
      </c>
      <c r="H50" s="7" t="str">
        <f>IFERROR(INDEX(Insumos!$B$5:$B$124,MATCH($B50,Insumos!$A$5:$A$124,0)),"")</f>
        <v>Aceite vegetal</v>
      </c>
    </row>
    <row r="51" spans="1:8" x14ac:dyDescent="0.3">
      <c r="A51" s="117" t="s">
        <v>243</v>
      </c>
      <c r="B51" s="117" t="s">
        <v>203</v>
      </c>
      <c r="C51" s="124">
        <v>0.42599999999999999</v>
      </c>
      <c r="D51" s="125">
        <f>IF($A51="",0,SUMIF(Ventas!$E$5:$E$104,$A51,Ventas!$G$5:$G$104))</f>
        <v>14</v>
      </c>
      <c r="E51" s="126">
        <f t="shared" si="0"/>
        <v>5.9639999999999995</v>
      </c>
      <c r="F51" s="121">
        <f>IFERROR(INDEX(Insumos!$D$5:$D$124,MATCH($B51,Insumos!$A$5:$A$124,0)),0)</f>
        <v>3600</v>
      </c>
      <c r="G51" s="121">
        <f t="shared" si="1"/>
        <v>1533.6</v>
      </c>
      <c r="H51" s="7" t="str">
        <f>IFERROR(INDEX(Insumos!$B$5:$B$124,MATCH($B51,Insumos!$A$5:$A$124,0)),"")</f>
        <v>Harina de trigo</v>
      </c>
    </row>
    <row r="52" spans="1:8" x14ac:dyDescent="0.3">
      <c r="A52" s="117" t="s">
        <v>243</v>
      </c>
      <c r="B52" s="117" t="s">
        <v>192</v>
      </c>
      <c r="C52" s="124">
        <v>0.31900000000000001</v>
      </c>
      <c r="D52" s="125">
        <f>IF($A52="",0,SUMIF(Ventas!$E$5:$E$104,$A52,Ventas!$G$5:$G$104))</f>
        <v>14</v>
      </c>
      <c r="E52" s="126">
        <f t="shared" si="0"/>
        <v>4.4660000000000002</v>
      </c>
      <c r="F52" s="121">
        <f>IFERROR(INDEX(Insumos!$D$5:$D$124,MATCH($B52,Insumos!$A$5:$A$124,0)),0)</f>
        <v>21000</v>
      </c>
      <c r="G52" s="121">
        <f t="shared" si="1"/>
        <v>6699</v>
      </c>
      <c r="H52" s="7" t="str">
        <f>IFERROR(INDEX(Insumos!$B$5:$B$124,MATCH($B52,Insumos!$A$5:$A$124,0)),"")</f>
        <v>Queso mozzarella</v>
      </c>
    </row>
    <row r="53" spans="1:8" x14ac:dyDescent="0.3">
      <c r="A53" s="117" t="s">
        <v>243</v>
      </c>
      <c r="B53" s="117" t="s">
        <v>213</v>
      </c>
      <c r="C53" s="124">
        <v>0.16</v>
      </c>
      <c r="D53" s="125">
        <f>IF($A53="",0,SUMIF(Ventas!$E$5:$E$104,$A53,Ventas!$G$5:$G$104))</f>
        <v>14</v>
      </c>
      <c r="E53" s="126">
        <f t="shared" si="0"/>
        <v>2.2400000000000002</v>
      </c>
      <c r="F53" s="121">
        <f>IFERROR(INDEX(Insumos!$D$5:$D$124,MATCH($B53,Insumos!$A$5:$A$124,0)),0)</f>
        <v>7200</v>
      </c>
      <c r="G53" s="121">
        <f t="shared" si="1"/>
        <v>1152</v>
      </c>
      <c r="H53" s="7" t="str">
        <f>IFERROR(INDEX(Insumos!$B$5:$B$124,MATCH($B53,Insumos!$A$5:$A$124,0)),"")</f>
        <v>Salsa de tomate</v>
      </c>
    </row>
    <row r="54" spans="1:8" x14ac:dyDescent="0.3">
      <c r="A54" s="117" t="s">
        <v>243</v>
      </c>
      <c r="B54" s="117" t="s">
        <v>209</v>
      </c>
      <c r="C54" s="124">
        <v>5.2999999999999999E-2</v>
      </c>
      <c r="D54" s="125">
        <f>IF($A54="",0,SUMIF(Ventas!$E$5:$E$104,$A54,Ventas!$G$5:$G$104))</f>
        <v>14</v>
      </c>
      <c r="E54" s="126">
        <f t="shared" si="0"/>
        <v>0.74199999999999999</v>
      </c>
      <c r="F54" s="121">
        <f>IFERROR(INDEX(Insumos!$D$5:$D$124,MATCH($B54,Insumos!$A$5:$A$124,0)),0)</f>
        <v>11500</v>
      </c>
      <c r="G54" s="121">
        <f t="shared" si="1"/>
        <v>609.5</v>
      </c>
      <c r="H54" s="7" t="str">
        <f>IFERROR(INDEX(Insumos!$B$5:$B$124,MATCH($B54,Insumos!$A$5:$A$124,0)),"")</f>
        <v>Aceite vegetal</v>
      </c>
    </row>
    <row r="55" spans="1:8" x14ac:dyDescent="0.3">
      <c r="A55" s="117" t="s">
        <v>244</v>
      </c>
      <c r="B55" s="117" t="s">
        <v>185</v>
      </c>
      <c r="C55" s="124">
        <v>1.5820000000000001</v>
      </c>
      <c r="D55" s="125">
        <f>IF($A55="",0,SUMIF(Ventas!$E$5:$E$104,$A55,Ventas!$G$5:$G$104))</f>
        <v>8</v>
      </c>
      <c r="E55" s="126">
        <f t="shared" si="0"/>
        <v>12.656000000000001</v>
      </c>
      <c r="F55" s="121">
        <f>IFERROR(INDEX(Insumos!$D$5:$D$124,MATCH($B55,Insumos!$A$5:$A$124,0)),0)</f>
        <v>2400</v>
      </c>
      <c r="G55" s="121">
        <f t="shared" si="1"/>
        <v>3796.8</v>
      </c>
      <c r="H55" s="7" t="str">
        <f>IFERROR(INDEX(Insumos!$B$5:$B$124,MATCH($B55,Insumos!$A$5:$A$124,0)),"")</f>
        <v>Lechuga</v>
      </c>
    </row>
    <row r="56" spans="1:8" x14ac:dyDescent="0.3">
      <c r="A56" s="117" t="s">
        <v>244</v>
      </c>
      <c r="B56" s="117" t="s">
        <v>160</v>
      </c>
      <c r="C56" s="124">
        <v>0.19</v>
      </c>
      <c r="D56" s="125">
        <f>IF($A56="",0,SUMIF(Ventas!$E$5:$E$104,$A56,Ventas!$G$5:$G$104))</f>
        <v>8</v>
      </c>
      <c r="E56" s="126">
        <f t="shared" si="0"/>
        <v>1.52</v>
      </c>
      <c r="F56" s="121">
        <f>IFERROR(INDEX(Insumos!$D$5:$D$124,MATCH($B56,Insumos!$A$5:$A$124,0)),0)</f>
        <v>14500</v>
      </c>
      <c r="G56" s="121">
        <f t="shared" si="1"/>
        <v>2755</v>
      </c>
      <c r="H56" s="7" t="str">
        <f>IFERROR(INDEX(Insumos!$B$5:$B$124,MATCH($B56,Insumos!$A$5:$A$124,0)),"")</f>
        <v>Pechuga de pollo</v>
      </c>
    </row>
    <row r="57" spans="1:8" x14ac:dyDescent="0.3">
      <c r="A57" s="117" t="s">
        <v>244</v>
      </c>
      <c r="B57" s="117" t="s">
        <v>192</v>
      </c>
      <c r="C57" s="124">
        <v>4.7E-2</v>
      </c>
      <c r="D57" s="125">
        <f>IF($A57="",0,SUMIF(Ventas!$E$5:$E$104,$A57,Ventas!$G$5:$G$104))</f>
        <v>8</v>
      </c>
      <c r="E57" s="126">
        <f t="shared" si="0"/>
        <v>0.376</v>
      </c>
      <c r="F57" s="121">
        <f>IFERROR(INDEX(Insumos!$D$5:$D$124,MATCH($B57,Insumos!$A$5:$A$124,0)),0)</f>
        <v>21000</v>
      </c>
      <c r="G57" s="121">
        <f t="shared" si="1"/>
        <v>987</v>
      </c>
      <c r="H57" s="7" t="str">
        <f>IFERROR(INDEX(Insumos!$B$5:$B$124,MATCH($B57,Insumos!$A$5:$A$124,0)),"")</f>
        <v>Queso mozzarella</v>
      </c>
    </row>
    <row r="58" spans="1:8" x14ac:dyDescent="0.3">
      <c r="A58" s="117" t="s">
        <v>244</v>
      </c>
      <c r="B58" s="117" t="s">
        <v>196</v>
      </c>
      <c r="C58" s="124">
        <v>6.3E-2</v>
      </c>
      <c r="D58" s="125">
        <f>IF($A58="",0,SUMIF(Ventas!$E$5:$E$104,$A58,Ventas!$G$5:$G$104))</f>
        <v>8</v>
      </c>
      <c r="E58" s="126">
        <f t="shared" si="0"/>
        <v>0.504</v>
      </c>
      <c r="F58" s="121">
        <f>IFERROR(INDEX(Insumos!$D$5:$D$124,MATCH($B58,Insumos!$A$5:$A$124,0)),0)</f>
        <v>9800</v>
      </c>
      <c r="G58" s="121">
        <f t="shared" si="1"/>
        <v>617.4</v>
      </c>
      <c r="H58" s="7" t="str">
        <f>IFERROR(INDEX(Insumos!$B$5:$B$124,MATCH($B58,Insumos!$A$5:$A$124,0)),"")</f>
        <v>Crema de leche</v>
      </c>
    </row>
    <row r="59" spans="1:8" x14ac:dyDescent="0.3">
      <c r="A59" s="117" t="s">
        <v>245</v>
      </c>
      <c r="B59" s="117" t="s">
        <v>185</v>
      </c>
      <c r="C59" s="124">
        <v>1.016</v>
      </c>
      <c r="D59" s="125">
        <f>IF($A59="",0,SUMIF(Ventas!$E$5:$E$104,$A59,Ventas!$G$5:$G$104))</f>
        <v>1</v>
      </c>
      <c r="E59" s="126">
        <f t="shared" si="0"/>
        <v>1.016</v>
      </c>
      <c r="F59" s="121">
        <f>IFERROR(INDEX(Insumos!$D$5:$D$124,MATCH($B59,Insumos!$A$5:$A$124,0)),0)</f>
        <v>2400</v>
      </c>
      <c r="G59" s="121">
        <f t="shared" si="1"/>
        <v>2438.4</v>
      </c>
      <c r="H59" s="7" t="str">
        <f>IFERROR(INDEX(Insumos!$B$5:$B$124,MATCH($B59,Insumos!$A$5:$A$124,0)),"")</f>
        <v>Lechuga</v>
      </c>
    </row>
    <row r="60" spans="1:8" x14ac:dyDescent="0.3">
      <c r="A60" s="117" t="s">
        <v>245</v>
      </c>
      <c r="B60" s="117" t="s">
        <v>181</v>
      </c>
      <c r="C60" s="124">
        <v>8.1000000000000003E-2</v>
      </c>
      <c r="D60" s="125">
        <f>IF($A60="",0,SUMIF(Ventas!$E$5:$E$104,$A60,Ventas!$G$5:$G$104))</f>
        <v>1</v>
      </c>
      <c r="E60" s="126">
        <f t="shared" si="0"/>
        <v>8.1000000000000003E-2</v>
      </c>
      <c r="F60" s="121">
        <f>IFERROR(INDEX(Insumos!$D$5:$D$124,MATCH($B60,Insumos!$A$5:$A$124,0)),0)</f>
        <v>3400</v>
      </c>
      <c r="G60" s="121">
        <f t="shared" si="1"/>
        <v>275.40000000000003</v>
      </c>
      <c r="H60" s="7" t="str">
        <f>IFERROR(INDEX(Insumos!$B$5:$B$124,MATCH($B60,Insumos!$A$5:$A$124,0)),"")</f>
        <v>Tomate</v>
      </c>
    </row>
    <row r="61" spans="1:8" x14ac:dyDescent="0.3">
      <c r="A61" s="117" t="s">
        <v>245</v>
      </c>
      <c r="B61" s="117" t="s">
        <v>188</v>
      </c>
      <c r="C61" s="124">
        <v>0.50800000000000001</v>
      </c>
      <c r="D61" s="125">
        <f>IF($A61="",0,SUMIF(Ventas!$E$5:$E$104,$A61,Ventas!$G$5:$G$104))</f>
        <v>1</v>
      </c>
      <c r="E61" s="126">
        <f t="shared" si="0"/>
        <v>0.50800000000000001</v>
      </c>
      <c r="F61" s="121">
        <f>IFERROR(INDEX(Insumos!$D$5:$D$124,MATCH($B61,Insumos!$A$5:$A$124,0)),0)</f>
        <v>3600</v>
      </c>
      <c r="G61" s="121">
        <f t="shared" si="1"/>
        <v>1828.8</v>
      </c>
      <c r="H61" s="7" t="str">
        <f>IFERROR(INDEX(Insumos!$B$5:$B$124,MATCH($B61,Insumos!$A$5:$A$124,0)),"")</f>
        <v>Aguacate</v>
      </c>
    </row>
    <row r="62" spans="1:8" x14ac:dyDescent="0.3">
      <c r="A62" s="117" t="s">
        <v>245</v>
      </c>
      <c r="B62" s="117" t="s">
        <v>190</v>
      </c>
      <c r="C62" s="124">
        <v>0.02</v>
      </c>
      <c r="D62" s="125">
        <f>IF($A62="",0,SUMIF(Ventas!$E$5:$E$104,$A62,Ventas!$G$5:$G$104))</f>
        <v>1</v>
      </c>
      <c r="E62" s="126">
        <f t="shared" si="0"/>
        <v>0.02</v>
      </c>
      <c r="F62" s="121">
        <f>IFERROR(INDEX(Insumos!$D$5:$D$124,MATCH($B62,Insumos!$A$5:$A$124,0)),0)</f>
        <v>3200</v>
      </c>
      <c r="G62" s="121">
        <f t="shared" si="1"/>
        <v>64</v>
      </c>
      <c r="H62" s="7" t="str">
        <f>IFERROR(INDEX(Insumos!$B$5:$B$124,MATCH($B62,Insumos!$A$5:$A$124,0)),"")</f>
        <v>Limón</v>
      </c>
    </row>
    <row r="63" spans="1:8" x14ac:dyDescent="0.3">
      <c r="A63" s="117" t="s">
        <v>246</v>
      </c>
      <c r="B63" s="117" t="s">
        <v>175</v>
      </c>
      <c r="C63" s="124">
        <v>0.32600000000000001</v>
      </c>
      <c r="D63" s="125">
        <f>IF($A63="",0,SUMIF(Ventas!$E$5:$E$104,$A63,Ventas!$G$5:$G$104))</f>
        <v>10</v>
      </c>
      <c r="E63" s="126">
        <f t="shared" si="0"/>
        <v>3.2600000000000002</v>
      </c>
      <c r="F63" s="121">
        <f>IFERROR(INDEX(Insumos!$D$5:$D$124,MATCH($B63,Insumos!$A$5:$A$124,0)),0)</f>
        <v>2200</v>
      </c>
      <c r="G63" s="121">
        <f t="shared" si="1"/>
        <v>717.2</v>
      </c>
      <c r="H63" s="7" t="str">
        <f>IFERROR(INDEX(Insumos!$B$5:$B$124,MATCH($B63,Insumos!$A$5:$A$124,0)),"")</f>
        <v>Papa pastusa</v>
      </c>
    </row>
    <row r="64" spans="1:8" x14ac:dyDescent="0.3">
      <c r="A64" s="117" t="s">
        <v>246</v>
      </c>
      <c r="B64" s="117" t="s">
        <v>183</v>
      </c>
      <c r="C64" s="124">
        <v>0.13</v>
      </c>
      <c r="D64" s="125">
        <f>IF($A64="",0,SUMIF(Ventas!$E$5:$E$104,$A64,Ventas!$G$5:$G$104))</f>
        <v>10</v>
      </c>
      <c r="E64" s="126">
        <f t="shared" si="0"/>
        <v>1.3</v>
      </c>
      <c r="F64" s="121">
        <f>IFERROR(INDEX(Insumos!$D$5:$D$124,MATCH($B64,Insumos!$A$5:$A$124,0)),0)</f>
        <v>2900</v>
      </c>
      <c r="G64" s="121">
        <f t="shared" si="1"/>
        <v>377</v>
      </c>
      <c r="H64" s="7" t="str">
        <f>IFERROR(INDEX(Insumos!$B$5:$B$124,MATCH($B64,Insumos!$A$5:$A$124,0)),"")</f>
        <v>Cebolla cabezona</v>
      </c>
    </row>
    <row r="65" spans="1:8" x14ac:dyDescent="0.3">
      <c r="A65" s="117" t="s">
        <v>246</v>
      </c>
      <c r="B65" s="117" t="s">
        <v>160</v>
      </c>
      <c r="C65" s="124">
        <v>0.19600000000000001</v>
      </c>
      <c r="D65" s="125">
        <f>IF($A65="",0,SUMIF(Ventas!$E$5:$E$104,$A65,Ventas!$G$5:$G$104))</f>
        <v>10</v>
      </c>
      <c r="E65" s="126">
        <f t="shared" si="0"/>
        <v>1.96</v>
      </c>
      <c r="F65" s="121">
        <f>IFERROR(INDEX(Insumos!$D$5:$D$124,MATCH($B65,Insumos!$A$5:$A$124,0)),0)</f>
        <v>14500</v>
      </c>
      <c r="G65" s="121">
        <f t="shared" si="1"/>
        <v>2842</v>
      </c>
      <c r="H65" s="7" t="str">
        <f>IFERROR(INDEX(Insumos!$B$5:$B$124,MATCH($B65,Insumos!$A$5:$A$124,0)),"")</f>
        <v>Pechuga de pollo</v>
      </c>
    </row>
    <row r="66" spans="1:8" x14ac:dyDescent="0.3">
      <c r="A66" s="117" t="s">
        <v>247</v>
      </c>
      <c r="B66" s="117" t="s">
        <v>179</v>
      </c>
      <c r="C66" s="124">
        <v>0.46200000000000002</v>
      </c>
      <c r="D66" s="125">
        <f>IF($A66="",0,SUMIF(Ventas!$E$5:$E$104,$A66,Ventas!$G$5:$G$104))</f>
        <v>14</v>
      </c>
      <c r="E66" s="126">
        <f t="shared" si="0"/>
        <v>6.468</v>
      </c>
      <c r="F66" s="121">
        <f>IFERROR(INDEX(Insumos!$D$5:$D$124,MATCH($B66,Insumos!$A$5:$A$124,0)),0)</f>
        <v>3100</v>
      </c>
      <c r="G66" s="121">
        <f t="shared" si="1"/>
        <v>1432.2</v>
      </c>
      <c r="H66" s="7" t="str">
        <f>IFERROR(INDEX(Insumos!$B$5:$B$124,MATCH($B66,Insumos!$A$5:$A$124,0)),"")</f>
        <v>Plátano maduro</v>
      </c>
    </row>
    <row r="67" spans="1:8" x14ac:dyDescent="0.3">
      <c r="A67" s="117" t="s">
        <v>247</v>
      </c>
      <c r="B67" s="117" t="s">
        <v>194</v>
      </c>
      <c r="C67" s="124">
        <v>0.13900000000000001</v>
      </c>
      <c r="D67" s="125">
        <f>IF($A67="",0,SUMIF(Ventas!$E$5:$E$104,$A67,Ventas!$G$5:$G$104))</f>
        <v>14</v>
      </c>
      <c r="E67" s="126">
        <f t="shared" si="0"/>
        <v>1.9460000000000002</v>
      </c>
      <c r="F67" s="121">
        <f>IFERROR(INDEX(Insumos!$D$5:$D$124,MATCH($B67,Insumos!$A$5:$A$124,0)),0)</f>
        <v>18500</v>
      </c>
      <c r="G67" s="121">
        <f t="shared" si="1"/>
        <v>2571.5000000000005</v>
      </c>
      <c r="H67" s="7" t="str">
        <f>IFERROR(INDEX(Insumos!$B$5:$B$124,MATCH($B67,Insumos!$A$5:$A$124,0)),"")</f>
        <v>Queso costeño</v>
      </c>
    </row>
    <row r="68" spans="1:8" x14ac:dyDescent="0.3">
      <c r="A68" s="117" t="s">
        <v>247</v>
      </c>
      <c r="B68" s="117" t="s">
        <v>209</v>
      </c>
      <c r="C68" s="124">
        <v>6.9000000000000006E-2</v>
      </c>
      <c r="D68" s="125">
        <f>IF($A68="",0,SUMIF(Ventas!$E$5:$E$104,$A68,Ventas!$G$5:$G$104))</f>
        <v>14</v>
      </c>
      <c r="E68" s="126">
        <f t="shared" si="0"/>
        <v>0.96600000000000008</v>
      </c>
      <c r="F68" s="121">
        <f>IFERROR(INDEX(Insumos!$D$5:$D$124,MATCH($B68,Insumos!$A$5:$A$124,0)),0)</f>
        <v>11500</v>
      </c>
      <c r="G68" s="121">
        <f t="shared" si="1"/>
        <v>793.50000000000011</v>
      </c>
      <c r="H68" s="7" t="str">
        <f>IFERROR(INDEX(Insumos!$B$5:$B$124,MATCH($B68,Insumos!$A$5:$A$124,0)),"")</f>
        <v>Aceite vegetal</v>
      </c>
    </row>
    <row r="69" spans="1:8" x14ac:dyDescent="0.3">
      <c r="A69" s="117" t="s">
        <v>248</v>
      </c>
      <c r="B69" s="117" t="s">
        <v>177</v>
      </c>
      <c r="C69" s="124">
        <v>0.65400000000000003</v>
      </c>
      <c r="D69" s="125">
        <f>IF($A69="",0,SUMIF(Ventas!$E$5:$E$104,$A69,Ventas!$G$5:$G$104))</f>
        <v>5</v>
      </c>
      <c r="E69" s="126">
        <f t="shared" ref="E69:E89" si="2">IF($A69="",0,$C69*$D69)</f>
        <v>3.27</v>
      </c>
      <c r="F69" s="121">
        <f>IFERROR(INDEX(Insumos!$D$5:$D$124,MATCH($B69,Insumos!$A$5:$A$124,0)),0)</f>
        <v>2600</v>
      </c>
      <c r="G69" s="121">
        <f t="shared" ref="G69:G89" si="3">IF($A69="",0,$C69*$F69)</f>
        <v>1700.4</v>
      </c>
      <c r="H69" s="7" t="str">
        <f>IFERROR(INDEX(Insumos!$B$5:$B$124,MATCH($B69,Insumos!$A$5:$A$124,0)),"")</f>
        <v>Yuca</v>
      </c>
    </row>
    <row r="70" spans="1:8" x14ac:dyDescent="0.3">
      <c r="A70" s="117" t="s">
        <v>248</v>
      </c>
      <c r="B70" s="117" t="s">
        <v>209</v>
      </c>
      <c r="C70" s="124">
        <v>0.11899999999999999</v>
      </c>
      <c r="D70" s="125">
        <f>IF($A70="",0,SUMIF(Ventas!$E$5:$E$104,$A70,Ventas!$G$5:$G$104))</f>
        <v>5</v>
      </c>
      <c r="E70" s="126">
        <f t="shared" si="2"/>
        <v>0.59499999999999997</v>
      </c>
      <c r="F70" s="121">
        <f>IFERROR(INDEX(Insumos!$D$5:$D$124,MATCH($B70,Insumos!$A$5:$A$124,0)),0)</f>
        <v>11500</v>
      </c>
      <c r="G70" s="121">
        <f t="shared" si="3"/>
        <v>1368.5</v>
      </c>
      <c r="H70" s="7" t="str">
        <f>IFERROR(INDEX(Insumos!$B$5:$B$124,MATCH($B70,Insumos!$A$5:$A$124,0)),"")</f>
        <v>Aceite vegetal</v>
      </c>
    </row>
    <row r="71" spans="1:8" x14ac:dyDescent="0.3">
      <c r="A71" s="117" t="s">
        <v>249</v>
      </c>
      <c r="B71" s="117" t="s">
        <v>203</v>
      </c>
      <c r="C71" s="124">
        <v>0.14199999999999999</v>
      </c>
      <c r="D71" s="125">
        <f>IF($A71="",0,SUMIF(Ventas!$E$5:$E$104,$A71,Ventas!$G$5:$G$104))</f>
        <v>32</v>
      </c>
      <c r="E71" s="126">
        <f t="shared" si="2"/>
        <v>4.5439999999999996</v>
      </c>
      <c r="F71" s="121">
        <f>IFERROR(INDEX(Insumos!$D$5:$D$124,MATCH($B71,Insumos!$A$5:$A$124,0)),0)</f>
        <v>3600</v>
      </c>
      <c r="G71" s="121">
        <f t="shared" si="3"/>
        <v>511.19999999999993</v>
      </c>
      <c r="H71" s="7" t="str">
        <f>IFERROR(INDEX(Insumos!$B$5:$B$124,MATCH($B71,Insumos!$A$5:$A$124,0)),"")</f>
        <v>Harina de trigo</v>
      </c>
    </row>
    <row r="72" spans="1:8" x14ac:dyDescent="0.3">
      <c r="A72" s="117" t="s">
        <v>249</v>
      </c>
      <c r="B72" s="117" t="s">
        <v>201</v>
      </c>
      <c r="C72" s="124">
        <v>1.77</v>
      </c>
      <c r="D72" s="125">
        <f>IF($A72="",0,SUMIF(Ventas!$E$5:$E$104,$A72,Ventas!$G$5:$G$104))</f>
        <v>32</v>
      </c>
      <c r="E72" s="126">
        <f t="shared" si="2"/>
        <v>56.64</v>
      </c>
      <c r="F72" s="121">
        <f>IFERROR(INDEX(Insumos!$D$5:$D$124,MATCH($B72,Insumos!$A$5:$A$124,0)),0)</f>
        <v>620</v>
      </c>
      <c r="G72" s="121">
        <f t="shared" si="3"/>
        <v>1097.4000000000001</v>
      </c>
      <c r="H72" s="7" t="str">
        <f>IFERROR(INDEX(Insumos!$B$5:$B$124,MATCH($B72,Insumos!$A$5:$A$124,0)),"")</f>
        <v>Huevo</v>
      </c>
    </row>
    <row r="73" spans="1:8" x14ac:dyDescent="0.3">
      <c r="A73" s="117" t="s">
        <v>249</v>
      </c>
      <c r="B73" s="117" t="s">
        <v>209</v>
      </c>
      <c r="C73" s="124">
        <v>5.2999999999999999E-2</v>
      </c>
      <c r="D73" s="125">
        <f>IF($A73="",0,SUMIF(Ventas!$E$5:$E$104,$A73,Ventas!$G$5:$G$104))</f>
        <v>32</v>
      </c>
      <c r="E73" s="126">
        <f t="shared" si="2"/>
        <v>1.696</v>
      </c>
      <c r="F73" s="121">
        <f>IFERROR(INDEX(Insumos!$D$5:$D$124,MATCH($B73,Insumos!$A$5:$A$124,0)),0)</f>
        <v>11500</v>
      </c>
      <c r="G73" s="121">
        <f t="shared" si="3"/>
        <v>609.5</v>
      </c>
      <c r="H73" s="7" t="str">
        <f>IFERROR(INDEX(Insumos!$B$5:$B$124,MATCH($B73,Insumos!$A$5:$A$124,0)),"")</f>
        <v>Aceite vegetal</v>
      </c>
    </row>
    <row r="74" spans="1:8" x14ac:dyDescent="0.3">
      <c r="A74" s="117" t="s">
        <v>250</v>
      </c>
      <c r="B74" s="117" t="s">
        <v>215</v>
      </c>
      <c r="C74" s="124">
        <v>0.58599999999999997</v>
      </c>
      <c r="D74" s="125">
        <f>IF($A74="",0,SUMIF(Ventas!$E$5:$E$104,$A74,Ventas!$G$5:$G$104))</f>
        <v>63</v>
      </c>
      <c r="E74" s="126">
        <f t="shared" si="2"/>
        <v>36.917999999999999</v>
      </c>
      <c r="F74" s="121">
        <f>IFERROR(INDEX(Insumos!$D$5:$D$124,MATCH($B74,Insumos!$A$5:$A$124,0)),0)</f>
        <v>1900</v>
      </c>
      <c r="G74" s="121">
        <f t="shared" si="3"/>
        <v>1113.3999999999999</v>
      </c>
      <c r="H74" s="7" t="str">
        <f>IFERROR(INDEX(Insumos!$B$5:$B$124,MATCH($B74,Insumos!$A$5:$A$124,0)),"")</f>
        <v>Gaseosa 300 ml</v>
      </c>
    </row>
    <row r="75" spans="1:8" x14ac:dyDescent="0.3">
      <c r="A75" s="117" t="s">
        <v>251</v>
      </c>
      <c r="B75" s="117" t="s">
        <v>217</v>
      </c>
      <c r="C75" s="124">
        <v>0.25900000000000001</v>
      </c>
      <c r="D75" s="125">
        <f>IF($A75="",0,SUMIF(Ventas!$E$5:$E$104,$A75,Ventas!$G$5:$G$104))</f>
        <v>55</v>
      </c>
      <c r="E75" s="126">
        <f t="shared" si="2"/>
        <v>14.245000000000001</v>
      </c>
      <c r="F75" s="121">
        <f>IFERROR(INDEX(Insumos!$D$5:$D$124,MATCH($B75,Insumos!$A$5:$A$124,0)),0)</f>
        <v>5400</v>
      </c>
      <c r="G75" s="121">
        <f t="shared" si="3"/>
        <v>1398.6000000000001</v>
      </c>
      <c r="H75" s="7" t="str">
        <f>IFERROR(INDEX(Insumos!$B$5:$B$124,MATCH($B75,Insumos!$A$5:$A$124,0)),"")</f>
        <v>Jugo natural base</v>
      </c>
    </row>
    <row r="76" spans="1:8" x14ac:dyDescent="0.3">
      <c r="A76" s="117" t="s">
        <v>251</v>
      </c>
      <c r="B76" s="117" t="s">
        <v>221</v>
      </c>
      <c r="C76" s="124">
        <v>1.7000000000000001E-2</v>
      </c>
      <c r="D76" s="125">
        <f>IF($A76="",0,SUMIF(Ventas!$E$5:$E$104,$A76,Ventas!$G$5:$G$104))</f>
        <v>55</v>
      </c>
      <c r="E76" s="126">
        <f t="shared" si="2"/>
        <v>0.93500000000000005</v>
      </c>
      <c r="F76" s="121">
        <f>IFERROR(INDEX(Insumos!$D$5:$D$124,MATCH($B76,Insumos!$A$5:$A$124,0)),0)</f>
        <v>3200</v>
      </c>
      <c r="G76" s="121">
        <f t="shared" si="3"/>
        <v>54.400000000000006</v>
      </c>
      <c r="H76" s="7" t="str">
        <f>IFERROR(INDEX(Insumos!$B$5:$B$124,MATCH($B76,Insumos!$A$5:$A$124,0)),"")</f>
        <v>Azúcar</v>
      </c>
    </row>
    <row r="77" spans="1:8" x14ac:dyDescent="0.3">
      <c r="A77" s="117" t="s">
        <v>252</v>
      </c>
      <c r="B77" s="117" t="s">
        <v>190</v>
      </c>
      <c r="C77" s="124">
        <v>0.309</v>
      </c>
      <c r="D77" s="125">
        <f>IF($A77="",0,SUMIF(Ventas!$E$5:$E$104,$A77,Ventas!$G$5:$G$104))</f>
        <v>4</v>
      </c>
      <c r="E77" s="126">
        <f t="shared" si="2"/>
        <v>1.236</v>
      </c>
      <c r="F77" s="121">
        <f>IFERROR(INDEX(Insumos!$D$5:$D$124,MATCH($B77,Insumos!$A$5:$A$124,0)),0)</f>
        <v>3200</v>
      </c>
      <c r="G77" s="121">
        <f t="shared" si="3"/>
        <v>988.8</v>
      </c>
      <c r="H77" s="7" t="str">
        <f>IFERROR(INDEX(Insumos!$B$5:$B$124,MATCH($B77,Insumos!$A$5:$A$124,0)),"")</f>
        <v>Limón</v>
      </c>
    </row>
    <row r="78" spans="1:8" x14ac:dyDescent="0.3">
      <c r="A78" s="117" t="s">
        <v>252</v>
      </c>
      <c r="B78" s="117" t="s">
        <v>196</v>
      </c>
      <c r="C78" s="124">
        <v>0.193</v>
      </c>
      <c r="D78" s="125">
        <f>IF($A78="",0,SUMIF(Ventas!$E$5:$E$104,$A78,Ventas!$G$5:$G$104))</f>
        <v>4</v>
      </c>
      <c r="E78" s="126">
        <f t="shared" si="2"/>
        <v>0.77200000000000002</v>
      </c>
      <c r="F78" s="121">
        <f>IFERROR(INDEX(Insumos!$D$5:$D$124,MATCH($B78,Insumos!$A$5:$A$124,0)),0)</f>
        <v>9800</v>
      </c>
      <c r="G78" s="121">
        <f t="shared" si="3"/>
        <v>1891.4</v>
      </c>
      <c r="H78" s="7" t="str">
        <f>IFERROR(INDEX(Insumos!$B$5:$B$124,MATCH($B78,Insumos!$A$5:$A$124,0)),"")</f>
        <v>Crema de leche</v>
      </c>
    </row>
    <row r="79" spans="1:8" x14ac:dyDescent="0.3">
      <c r="A79" s="117" t="s">
        <v>252</v>
      </c>
      <c r="B79" s="117" t="s">
        <v>221</v>
      </c>
      <c r="C79" s="124">
        <v>0.11600000000000001</v>
      </c>
      <c r="D79" s="125">
        <f>IF($A79="",0,SUMIF(Ventas!$E$5:$E$104,$A79,Ventas!$G$5:$G$104))</f>
        <v>4</v>
      </c>
      <c r="E79" s="126">
        <f t="shared" si="2"/>
        <v>0.46400000000000002</v>
      </c>
      <c r="F79" s="121">
        <f>IFERROR(INDEX(Insumos!$D$5:$D$124,MATCH($B79,Insumos!$A$5:$A$124,0)),0)</f>
        <v>3200</v>
      </c>
      <c r="G79" s="121">
        <f t="shared" si="3"/>
        <v>371.20000000000005</v>
      </c>
      <c r="H79" s="7" t="str">
        <f>IFERROR(INDEX(Insumos!$B$5:$B$124,MATCH($B79,Insumos!$A$5:$A$124,0)),"")</f>
        <v>Azúcar</v>
      </c>
    </row>
    <row r="80" spans="1:8" x14ac:dyDescent="0.3">
      <c r="A80" s="117" t="s">
        <v>253</v>
      </c>
      <c r="B80" s="117" t="s">
        <v>219</v>
      </c>
      <c r="C80" s="124">
        <v>2.7E-2</v>
      </c>
      <c r="D80" s="125">
        <f>IF($A80="",0,SUMIF(Ventas!$E$5:$E$104,$A80,Ventas!$G$5:$G$104))</f>
        <v>24</v>
      </c>
      <c r="E80" s="126">
        <f t="shared" si="2"/>
        <v>0.64800000000000002</v>
      </c>
      <c r="F80" s="121">
        <f>IFERROR(INDEX(Insumos!$D$5:$D$124,MATCH($B80,Insumos!$A$5:$A$124,0)),0)</f>
        <v>26000</v>
      </c>
      <c r="G80" s="121">
        <f t="shared" si="3"/>
        <v>702</v>
      </c>
      <c r="H80" s="7" t="str">
        <f>IFERROR(INDEX(Insumos!$B$5:$B$124,MATCH($B80,Insumos!$A$5:$A$124,0)),"")</f>
        <v>Café molido</v>
      </c>
    </row>
    <row r="81" spans="1:8" x14ac:dyDescent="0.3">
      <c r="A81" s="117" t="s">
        <v>253</v>
      </c>
      <c r="B81" s="117" t="s">
        <v>221</v>
      </c>
      <c r="C81" s="124">
        <v>2.3E-2</v>
      </c>
      <c r="D81" s="125">
        <f>IF($A81="",0,SUMIF(Ventas!$E$5:$E$104,$A81,Ventas!$G$5:$G$104))</f>
        <v>24</v>
      </c>
      <c r="E81" s="126">
        <f t="shared" si="2"/>
        <v>0.55200000000000005</v>
      </c>
      <c r="F81" s="121">
        <f>IFERROR(INDEX(Insumos!$D$5:$D$124,MATCH($B81,Insumos!$A$5:$A$124,0)),0)</f>
        <v>3200</v>
      </c>
      <c r="G81" s="121">
        <f t="shared" si="3"/>
        <v>73.599999999999994</v>
      </c>
      <c r="H81" s="7" t="str">
        <f>IFERROR(INDEX(Insumos!$B$5:$B$124,MATCH($B81,Insumos!$A$5:$A$124,0)),"")</f>
        <v>Azúcar</v>
      </c>
    </row>
    <row r="82" spans="1:8" x14ac:dyDescent="0.3">
      <c r="A82" s="117" t="s">
        <v>254</v>
      </c>
      <c r="B82" s="117" t="s">
        <v>199</v>
      </c>
      <c r="C82" s="124">
        <v>0.23100000000000001</v>
      </c>
      <c r="D82" s="125">
        <f>IF($A82="",0,SUMIF(Ventas!$E$5:$E$104,$A82,Ventas!$G$5:$G$104))</f>
        <v>11</v>
      </c>
      <c r="E82" s="126">
        <f t="shared" si="2"/>
        <v>2.5409999999999999</v>
      </c>
      <c r="F82" s="121">
        <f>IFERROR(INDEX(Insumos!$D$5:$D$124,MATCH($B82,Insumos!$A$5:$A$124,0)),0)</f>
        <v>3900</v>
      </c>
      <c r="G82" s="121">
        <f t="shared" si="3"/>
        <v>900.90000000000009</v>
      </c>
      <c r="H82" s="7" t="str">
        <f>IFERROR(INDEX(Insumos!$B$5:$B$124,MATCH($B82,Insumos!$A$5:$A$124,0)),"")</f>
        <v>Leche entera</v>
      </c>
    </row>
    <row r="83" spans="1:8" x14ac:dyDescent="0.3">
      <c r="A83" s="117" t="s">
        <v>254</v>
      </c>
      <c r="B83" s="117" t="s">
        <v>221</v>
      </c>
      <c r="C83" s="124">
        <v>9.6000000000000002E-2</v>
      </c>
      <c r="D83" s="125">
        <f>IF($A83="",0,SUMIF(Ventas!$E$5:$E$104,$A83,Ventas!$G$5:$G$104))</f>
        <v>11</v>
      </c>
      <c r="E83" s="126">
        <f t="shared" si="2"/>
        <v>1.056</v>
      </c>
      <c r="F83" s="121">
        <f>IFERROR(INDEX(Insumos!$D$5:$D$124,MATCH($B83,Insumos!$A$5:$A$124,0)),0)</f>
        <v>3200</v>
      </c>
      <c r="G83" s="121">
        <f t="shared" si="3"/>
        <v>307.2</v>
      </c>
      <c r="H83" s="7" t="str">
        <f>IFERROR(INDEX(Insumos!$B$5:$B$124,MATCH($B83,Insumos!$A$5:$A$124,0)),"")</f>
        <v>Azúcar</v>
      </c>
    </row>
    <row r="84" spans="1:8" x14ac:dyDescent="0.3">
      <c r="A84" s="117" t="s">
        <v>254</v>
      </c>
      <c r="B84" s="117" t="s">
        <v>201</v>
      </c>
      <c r="C84" s="124">
        <v>1.9219999999999999</v>
      </c>
      <c r="D84" s="125">
        <f>IF($A84="",0,SUMIF(Ventas!$E$5:$E$104,$A84,Ventas!$G$5:$G$104))</f>
        <v>11</v>
      </c>
      <c r="E84" s="126">
        <f t="shared" si="2"/>
        <v>21.141999999999999</v>
      </c>
      <c r="F84" s="121">
        <f>IFERROR(INDEX(Insumos!$D$5:$D$124,MATCH($B84,Insumos!$A$5:$A$124,0)),0)</f>
        <v>620</v>
      </c>
      <c r="G84" s="121">
        <f t="shared" si="3"/>
        <v>1191.6399999999999</v>
      </c>
      <c r="H84" s="7" t="str">
        <f>IFERROR(INDEX(Insumos!$B$5:$B$124,MATCH($B84,Insumos!$A$5:$A$124,0)),"")</f>
        <v>Huevo</v>
      </c>
    </row>
    <row r="85" spans="1:8" x14ac:dyDescent="0.3">
      <c r="A85" s="117" t="s">
        <v>254</v>
      </c>
      <c r="B85" s="117" t="s">
        <v>203</v>
      </c>
      <c r="C85" s="124">
        <v>9.6000000000000002E-2</v>
      </c>
      <c r="D85" s="125">
        <f>IF($A85="",0,SUMIF(Ventas!$E$5:$E$104,$A85,Ventas!$G$5:$G$104))</f>
        <v>11</v>
      </c>
      <c r="E85" s="126">
        <f t="shared" si="2"/>
        <v>1.056</v>
      </c>
      <c r="F85" s="121">
        <f>IFERROR(INDEX(Insumos!$D$5:$D$124,MATCH($B85,Insumos!$A$5:$A$124,0)),0)</f>
        <v>3600</v>
      </c>
      <c r="G85" s="121">
        <f t="shared" si="3"/>
        <v>345.6</v>
      </c>
      <c r="H85" s="7" t="str">
        <f>IFERROR(INDEX(Insumos!$B$5:$B$124,MATCH($B85,Insumos!$A$5:$A$124,0)),"")</f>
        <v>Harina de trigo</v>
      </c>
    </row>
    <row r="86" spans="1:8" x14ac:dyDescent="0.3">
      <c r="A86" s="117" t="s">
        <v>255</v>
      </c>
      <c r="B86" s="117" t="s">
        <v>203</v>
      </c>
      <c r="C86" s="124">
        <v>0.16800000000000001</v>
      </c>
      <c r="D86" s="125">
        <f>IF($A86="",0,SUMIF(Ventas!$E$5:$E$104,$A86,Ventas!$G$5:$G$104))</f>
        <v>5</v>
      </c>
      <c r="E86" s="126">
        <f t="shared" si="2"/>
        <v>0.84000000000000008</v>
      </c>
      <c r="F86" s="121">
        <f>IFERROR(INDEX(Insumos!$D$5:$D$124,MATCH($B86,Insumos!$A$5:$A$124,0)),0)</f>
        <v>3600</v>
      </c>
      <c r="G86" s="121">
        <f t="shared" si="3"/>
        <v>604.80000000000007</v>
      </c>
      <c r="H86" s="7" t="str">
        <f>IFERROR(INDEX(Insumos!$B$5:$B$124,MATCH($B86,Insumos!$A$5:$A$124,0)),"")</f>
        <v>Harina de trigo</v>
      </c>
    </row>
    <row r="87" spans="1:8" x14ac:dyDescent="0.3">
      <c r="A87" s="117" t="s">
        <v>255</v>
      </c>
      <c r="B87" s="117" t="s">
        <v>211</v>
      </c>
      <c r="C87" s="124">
        <v>8.4000000000000005E-2</v>
      </c>
      <c r="D87" s="125">
        <f>IF($A87="",0,SUMIF(Ventas!$E$5:$E$104,$A87,Ventas!$G$5:$G$104))</f>
        <v>5</v>
      </c>
      <c r="E87" s="126">
        <f t="shared" si="2"/>
        <v>0.42000000000000004</v>
      </c>
      <c r="F87" s="121">
        <f>IFERROR(INDEX(Insumos!$D$5:$D$124,MATCH($B87,Insumos!$A$5:$A$124,0)),0)</f>
        <v>16800</v>
      </c>
      <c r="G87" s="121">
        <f t="shared" si="3"/>
        <v>1411.2</v>
      </c>
      <c r="H87" s="7" t="str">
        <f>IFERROR(INDEX(Insumos!$B$5:$B$124,MATCH($B87,Insumos!$A$5:$A$124,0)),"")</f>
        <v>Mantequilla</v>
      </c>
    </row>
    <row r="88" spans="1:8" x14ac:dyDescent="0.3">
      <c r="A88" s="117" t="s">
        <v>255</v>
      </c>
      <c r="B88" s="117" t="s">
        <v>199</v>
      </c>
      <c r="C88" s="124">
        <v>0.28000000000000003</v>
      </c>
      <c r="D88" s="125">
        <f>IF($A88="",0,SUMIF(Ventas!$E$5:$E$104,$A88,Ventas!$G$5:$G$104))</f>
        <v>5</v>
      </c>
      <c r="E88" s="126">
        <f t="shared" si="2"/>
        <v>1.4000000000000001</v>
      </c>
      <c r="F88" s="121">
        <f>IFERROR(INDEX(Insumos!$D$5:$D$124,MATCH($B88,Insumos!$A$5:$A$124,0)),0)</f>
        <v>3900</v>
      </c>
      <c r="G88" s="121">
        <f t="shared" si="3"/>
        <v>1092</v>
      </c>
      <c r="H88" s="7" t="str">
        <f>IFERROR(INDEX(Insumos!$B$5:$B$124,MATCH($B88,Insumos!$A$5:$A$124,0)),"")</f>
        <v>Leche entera</v>
      </c>
    </row>
    <row r="89" spans="1:8" x14ac:dyDescent="0.3">
      <c r="A89" s="117" t="s">
        <v>255</v>
      </c>
      <c r="B89" s="117" t="s">
        <v>221</v>
      </c>
      <c r="C89" s="124">
        <v>0.16800000000000001</v>
      </c>
      <c r="D89" s="125">
        <f>IF($A89="",0,SUMIF(Ventas!$E$5:$E$104,$A89,Ventas!$G$5:$G$104))</f>
        <v>5</v>
      </c>
      <c r="E89" s="126">
        <f t="shared" si="2"/>
        <v>0.84000000000000008</v>
      </c>
      <c r="F89" s="121">
        <f>IFERROR(INDEX(Insumos!$D$5:$D$124,MATCH($B89,Insumos!$A$5:$A$124,0)),0)</f>
        <v>3200</v>
      </c>
      <c r="G89" s="121">
        <f t="shared" si="3"/>
        <v>537.6</v>
      </c>
      <c r="H89" s="7" t="str">
        <f>IFERROR(INDEX(Insumos!$B$5:$B$124,MATCH($B89,Insumos!$A$5:$A$124,0)),"")</f>
        <v>Azúcar</v>
      </c>
    </row>
    <row r="90" spans="1:8" ht="15" customHeight="1" x14ac:dyDescent="0.3"/>
  </sheetData>
  <sheetProtection sheet="1" objects="1" scenarios="1" formatCells="0" formatColumns="0" formatRows="0" insertRows="0" deleteRows="0" sort="0" autoFilter="0" pivotTables="0"/>
  <mergeCells count="2">
    <mergeCell ref="A2:H2"/>
    <mergeCell ref="A1:H1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9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0" sqref="J10"/>
    </sheetView>
  </sheetViews>
  <sheetFormatPr baseColWidth="10" defaultColWidth="8.6640625" defaultRowHeight="14.4" x14ac:dyDescent="0.3"/>
  <cols>
    <col min="1" max="1" width="10" style="1" customWidth="1"/>
    <col min="2" max="2" width="30" style="1" customWidth="1"/>
    <col min="3" max="3" width="16" style="1" customWidth="1"/>
    <col min="4" max="5" width="14" style="1" customWidth="1"/>
    <col min="6" max="6" width="11" style="1" customWidth="1"/>
    <col min="7" max="7" width="14" style="1" customWidth="1"/>
    <col min="8" max="9" width="13" style="1" customWidth="1"/>
    <col min="10" max="10" width="18" style="1" customWidth="1"/>
    <col min="11" max="12" width="14" style="1" customWidth="1"/>
    <col min="13" max="13" width="22" style="1" customWidth="1"/>
    <col min="14" max="16" width="8.6640625" style="1" customWidth="1"/>
    <col min="17" max="16384" width="8.6640625" style="1"/>
  </cols>
  <sheetData>
    <row r="1" spans="1:13" ht="30" customHeight="1" x14ac:dyDescent="0.3">
      <c r="A1" s="181" t="s">
        <v>256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spans="1:13" ht="18" customHeight="1" x14ac:dyDescent="0.3">
      <c r="A2" s="179" t="s">
        <v>319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</row>
    <row r="3" spans="1:13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37.799999999999997" customHeight="1" x14ac:dyDescent="0.3">
      <c r="A4" s="116" t="s">
        <v>132</v>
      </c>
      <c r="B4" s="116" t="s">
        <v>257</v>
      </c>
      <c r="C4" s="116" t="s">
        <v>258</v>
      </c>
      <c r="D4" s="116" t="s">
        <v>259</v>
      </c>
      <c r="E4" s="116" t="s">
        <v>260</v>
      </c>
      <c r="F4" s="116" t="s">
        <v>261</v>
      </c>
      <c r="G4" s="116" t="s">
        <v>262</v>
      </c>
      <c r="H4" s="116" t="s">
        <v>263</v>
      </c>
      <c r="I4" s="116" t="s">
        <v>264</v>
      </c>
      <c r="J4" s="116" t="s">
        <v>265</v>
      </c>
      <c r="K4" s="116" t="s">
        <v>266</v>
      </c>
      <c r="L4" s="116" t="s">
        <v>267</v>
      </c>
      <c r="M4" s="116" t="s">
        <v>60</v>
      </c>
    </row>
    <row r="5" spans="1:13" x14ac:dyDescent="0.3">
      <c r="A5" s="117" t="s">
        <v>232</v>
      </c>
      <c r="B5" s="117" t="s">
        <v>268</v>
      </c>
      <c r="C5" s="117" t="s">
        <v>269</v>
      </c>
      <c r="D5" s="118">
        <v>32000</v>
      </c>
      <c r="E5" s="121">
        <f>IF($A5="",0,SUMIF(Recetas!$A$5:$A$89,$A5,Recetas!$G$5:$G$89))</f>
        <v>9800.3000000000011</v>
      </c>
      <c r="F5" s="9">
        <f t="shared" ref="F5:F28" si="0">IF($D5="","",IF($D5=0,"",$E5/$D5))</f>
        <v>0.30625937500000006</v>
      </c>
      <c r="G5" s="121">
        <f t="shared" ref="G5:G28" si="1">IF($A5="",0,$D5-$E5)</f>
        <v>22199.699999999997</v>
      </c>
      <c r="H5" s="125">
        <f>IF($A5="",0,SUMIF(Ventas!$E$5:$E$104,$A5,Ventas!$G$5:$G$104))</f>
        <v>44</v>
      </c>
      <c r="I5" s="9">
        <f t="shared" ref="I5:I28" si="2">IF($A5="","",IF(SUM($H$5:$H$28)=0,"",$H5/SUM($H$5:$H$28)))</f>
        <v>8.5769980506822607E-2</v>
      </c>
      <c r="J5" s="121">
        <f t="shared" ref="J5:J28" si="3">IF($A5="",0,$G5*$H5)</f>
        <v>976786.79999999981</v>
      </c>
      <c r="K5" s="127" t="str">
        <f t="shared" ref="K5:K28" si="4">IF($A5="","",IF($I5="","",IF($I5&gt;=0.7/MAX(1,COUNTIF($A$5:$A$28,"&lt;&gt;")),"ALTA","BAJA")))</f>
        <v>ALTA</v>
      </c>
      <c r="L5" s="127" t="str">
        <f t="shared" ref="L5:L28" si="5">IF($A5="","",IF($G5&gt;=SUM($J$5:$J$28)/MAX(1,SUM($H$5:$H$28)),"ALTA","BAJA"))</f>
        <v>ALTA</v>
      </c>
      <c r="M5" s="127" t="str">
        <f t="shared" ref="M5:M28" si="6">IF($A5="","",IF($K5="","",IF(AND($K5="ALTA",$L5="ALTA"),"ESTRELLA",IF(AND($K5="ALTA",$L5="BAJA"),"CABALLO DE BATALLA",IF(AND($K5="BAJA",$L5="ALTA"),"ROMPECABEZAS","PERRO")))))</f>
        <v>ESTRELLA</v>
      </c>
    </row>
    <row r="6" spans="1:13" x14ac:dyDescent="0.3">
      <c r="A6" s="117" t="s">
        <v>233</v>
      </c>
      <c r="B6" s="117" t="s">
        <v>270</v>
      </c>
      <c r="C6" s="117" t="s">
        <v>269</v>
      </c>
      <c r="D6" s="118">
        <v>48000</v>
      </c>
      <c r="E6" s="121">
        <f>IF($A6="",0,SUMIF(Recetas!$A$5:$A$89,$A6,Recetas!$G$5:$G$89))</f>
        <v>15995.199999999999</v>
      </c>
      <c r="F6" s="9">
        <f t="shared" si="0"/>
        <v>0.33323333333333333</v>
      </c>
      <c r="G6" s="121">
        <f t="shared" si="1"/>
        <v>32004.800000000003</v>
      </c>
      <c r="H6" s="125">
        <f>IF($A6="",0,SUMIF(Ventas!$E$5:$E$104,$A6,Ventas!$G$5:$G$104))</f>
        <v>13</v>
      </c>
      <c r="I6" s="9">
        <f t="shared" si="2"/>
        <v>2.5341130604288498E-2</v>
      </c>
      <c r="J6" s="121">
        <f t="shared" si="3"/>
        <v>416062.4</v>
      </c>
      <c r="K6" s="127" t="str">
        <f t="shared" si="4"/>
        <v>BAJA</v>
      </c>
      <c r="L6" s="127" t="str">
        <f t="shared" si="5"/>
        <v>ALTA</v>
      </c>
      <c r="M6" s="127" t="str">
        <f t="shared" si="6"/>
        <v>ROMPECABEZAS</v>
      </c>
    </row>
    <row r="7" spans="1:13" x14ac:dyDescent="0.3">
      <c r="A7" s="117" t="s">
        <v>234</v>
      </c>
      <c r="B7" s="117" t="s">
        <v>271</v>
      </c>
      <c r="C7" s="117" t="s">
        <v>269</v>
      </c>
      <c r="D7" s="118">
        <v>38000</v>
      </c>
      <c r="E7" s="121">
        <f>IF($A7="",0,SUMIF(Recetas!$A$5:$A$89,$A7,Recetas!$G$5:$G$89))</f>
        <v>13368</v>
      </c>
      <c r="F7" s="9">
        <f t="shared" si="0"/>
        <v>0.35178947368421054</v>
      </c>
      <c r="G7" s="121">
        <f t="shared" si="1"/>
        <v>24632</v>
      </c>
      <c r="H7" s="125">
        <f>IF($A7="",0,SUMIF(Ventas!$E$5:$E$104,$A7,Ventas!$G$5:$G$104))</f>
        <v>35</v>
      </c>
      <c r="I7" s="9">
        <f t="shared" si="2"/>
        <v>6.8226120857699801E-2</v>
      </c>
      <c r="J7" s="121">
        <f t="shared" si="3"/>
        <v>862120</v>
      </c>
      <c r="K7" s="127" t="str">
        <f t="shared" si="4"/>
        <v>ALTA</v>
      </c>
      <c r="L7" s="127" t="str">
        <f t="shared" si="5"/>
        <v>ALTA</v>
      </c>
      <c r="M7" s="127" t="str">
        <f t="shared" si="6"/>
        <v>ESTRELLA</v>
      </c>
    </row>
    <row r="8" spans="1:13" x14ac:dyDescent="0.3">
      <c r="A8" s="117" t="s">
        <v>235</v>
      </c>
      <c r="B8" s="117" t="s">
        <v>272</v>
      </c>
      <c r="C8" s="117" t="s">
        <v>269</v>
      </c>
      <c r="D8" s="118">
        <v>42000</v>
      </c>
      <c r="E8" s="121">
        <f>IF($A8="",0,SUMIF(Recetas!$A$5:$A$89,$A8,Recetas!$G$5:$G$89))</f>
        <v>15519.1</v>
      </c>
      <c r="F8" s="9">
        <f t="shared" si="0"/>
        <v>0.36950238095238097</v>
      </c>
      <c r="G8" s="121">
        <f t="shared" si="1"/>
        <v>26480.9</v>
      </c>
      <c r="H8" s="125">
        <f>IF($A8="",0,SUMIF(Ventas!$E$5:$E$104,$A8,Ventas!$G$5:$G$104))</f>
        <v>7</v>
      </c>
      <c r="I8" s="9">
        <f t="shared" si="2"/>
        <v>1.364522417153996E-2</v>
      </c>
      <c r="J8" s="121">
        <f t="shared" si="3"/>
        <v>185366.30000000002</v>
      </c>
      <c r="K8" s="127" t="str">
        <f t="shared" si="4"/>
        <v>BAJA</v>
      </c>
      <c r="L8" s="127" t="str">
        <f t="shared" si="5"/>
        <v>ALTA</v>
      </c>
      <c r="M8" s="127" t="str">
        <f t="shared" si="6"/>
        <v>ROMPECABEZAS</v>
      </c>
    </row>
    <row r="9" spans="1:13" x14ac:dyDescent="0.3">
      <c r="A9" s="117" t="s">
        <v>236</v>
      </c>
      <c r="B9" s="117" t="s">
        <v>273</v>
      </c>
      <c r="C9" s="117" t="s">
        <v>269</v>
      </c>
      <c r="D9" s="118">
        <v>52000</v>
      </c>
      <c r="E9" s="121">
        <f>IF($A9="",0,SUMIF(Recetas!$A$5:$A$89,$A9,Recetas!$G$5:$G$89))</f>
        <v>18091.100000000002</v>
      </c>
      <c r="F9" s="9">
        <f t="shared" si="0"/>
        <v>0.34790576923076927</v>
      </c>
      <c r="G9" s="121">
        <f t="shared" si="1"/>
        <v>33908.899999999994</v>
      </c>
      <c r="H9" s="125">
        <f>IF($A9="",0,SUMIF(Ventas!$E$5:$E$104,$A9,Ventas!$G$5:$G$104))</f>
        <v>5</v>
      </c>
      <c r="I9" s="9">
        <f t="shared" si="2"/>
        <v>9.7465886939571145E-3</v>
      </c>
      <c r="J9" s="121">
        <f t="shared" si="3"/>
        <v>169544.49999999997</v>
      </c>
      <c r="K9" s="127" t="str">
        <f t="shared" si="4"/>
        <v>BAJA</v>
      </c>
      <c r="L9" s="127" t="str">
        <f t="shared" si="5"/>
        <v>ALTA</v>
      </c>
      <c r="M9" s="127" t="str">
        <f t="shared" si="6"/>
        <v>ROMPECABEZAS</v>
      </c>
    </row>
    <row r="10" spans="1:13" x14ac:dyDescent="0.3">
      <c r="A10" s="117" t="s">
        <v>237</v>
      </c>
      <c r="B10" s="117" t="s">
        <v>274</v>
      </c>
      <c r="C10" s="117" t="s">
        <v>269</v>
      </c>
      <c r="D10" s="118">
        <v>45000</v>
      </c>
      <c r="E10" s="121">
        <f>IF($A10="",0,SUMIF(Recetas!$A$5:$A$89,$A10,Recetas!$G$5:$G$89))</f>
        <v>14558.539999999999</v>
      </c>
      <c r="F10" s="9">
        <f t="shared" si="0"/>
        <v>0.32352311111111109</v>
      </c>
      <c r="G10" s="121">
        <f t="shared" si="1"/>
        <v>30441.46</v>
      </c>
      <c r="H10" s="125">
        <f>IF($A10="",0,SUMIF(Ventas!$E$5:$E$104,$A10,Ventas!$G$5:$G$104))</f>
        <v>9</v>
      </c>
      <c r="I10" s="9">
        <f t="shared" si="2"/>
        <v>1.7543859649122806E-2</v>
      </c>
      <c r="J10" s="121">
        <f t="shared" si="3"/>
        <v>273973.14</v>
      </c>
      <c r="K10" s="127" t="str">
        <f t="shared" si="4"/>
        <v>BAJA</v>
      </c>
      <c r="L10" s="127" t="str">
        <f t="shared" si="5"/>
        <v>ALTA</v>
      </c>
      <c r="M10" s="127" t="str">
        <f t="shared" si="6"/>
        <v>ROMPECABEZAS</v>
      </c>
    </row>
    <row r="11" spans="1:13" x14ac:dyDescent="0.3">
      <c r="A11" s="117" t="s">
        <v>238</v>
      </c>
      <c r="B11" s="117" t="s">
        <v>275</v>
      </c>
      <c r="C11" s="117" t="s">
        <v>276</v>
      </c>
      <c r="D11" s="118">
        <v>28000</v>
      </c>
      <c r="E11" s="121">
        <f>IF($A11="",0,SUMIF(Recetas!$A$5:$A$89,$A11,Recetas!$G$5:$G$89))</f>
        <v>9658.8000000000011</v>
      </c>
      <c r="F11" s="9">
        <f t="shared" si="0"/>
        <v>0.34495714285714291</v>
      </c>
      <c r="G11" s="121">
        <f t="shared" si="1"/>
        <v>18341.199999999997</v>
      </c>
      <c r="H11" s="125">
        <f>IF($A11="",0,SUMIF(Ventas!$E$5:$E$104,$A11,Ventas!$G$5:$G$104))</f>
        <v>76</v>
      </c>
      <c r="I11" s="9">
        <f t="shared" si="2"/>
        <v>0.14814814814814814</v>
      </c>
      <c r="J11" s="121">
        <f t="shared" si="3"/>
        <v>1393931.1999999997</v>
      </c>
      <c r="K11" s="127" t="str">
        <f t="shared" si="4"/>
        <v>ALTA</v>
      </c>
      <c r="L11" s="127" t="str">
        <f t="shared" si="5"/>
        <v>ALTA</v>
      </c>
      <c r="M11" s="127" t="str">
        <f t="shared" si="6"/>
        <v>ESTRELLA</v>
      </c>
    </row>
    <row r="12" spans="1:13" x14ac:dyDescent="0.3">
      <c r="A12" s="117" t="s">
        <v>239</v>
      </c>
      <c r="B12" s="117" t="s">
        <v>277</v>
      </c>
      <c r="C12" s="117" t="s">
        <v>276</v>
      </c>
      <c r="D12" s="118">
        <v>36000</v>
      </c>
      <c r="E12" s="121">
        <f>IF($A12="",0,SUMIF(Recetas!$A$5:$A$89,$A12,Recetas!$G$5:$G$89))</f>
        <v>11035.2</v>
      </c>
      <c r="F12" s="9">
        <f t="shared" si="0"/>
        <v>0.30653333333333338</v>
      </c>
      <c r="G12" s="121">
        <f t="shared" si="1"/>
        <v>24964.799999999999</v>
      </c>
      <c r="H12" s="125">
        <f>IF($A12="",0,SUMIF(Ventas!$E$5:$E$104,$A12,Ventas!$G$5:$G$104))</f>
        <v>7</v>
      </c>
      <c r="I12" s="9">
        <f t="shared" si="2"/>
        <v>1.364522417153996E-2</v>
      </c>
      <c r="J12" s="121">
        <f t="shared" si="3"/>
        <v>174753.6</v>
      </c>
      <c r="K12" s="127" t="str">
        <f t="shared" si="4"/>
        <v>BAJA</v>
      </c>
      <c r="L12" s="127" t="str">
        <f t="shared" si="5"/>
        <v>ALTA</v>
      </c>
      <c r="M12" s="127" t="str">
        <f t="shared" si="6"/>
        <v>ROMPECABEZAS</v>
      </c>
    </row>
    <row r="13" spans="1:13" x14ac:dyDescent="0.3">
      <c r="A13" s="117" t="s">
        <v>240</v>
      </c>
      <c r="B13" s="117" t="s">
        <v>278</v>
      </c>
      <c r="C13" s="117" t="s">
        <v>276</v>
      </c>
      <c r="D13" s="118">
        <v>26000</v>
      </c>
      <c r="E13" s="121">
        <f>IF($A13="",0,SUMIF(Recetas!$A$5:$A$89,$A13,Recetas!$G$5:$G$89))</f>
        <v>8529.4000000000015</v>
      </c>
      <c r="F13" s="9">
        <f t="shared" si="0"/>
        <v>0.3280538461538462</v>
      </c>
      <c r="G13" s="121">
        <f t="shared" si="1"/>
        <v>17470.599999999999</v>
      </c>
      <c r="H13" s="125">
        <f>IF($A13="",0,SUMIF(Ventas!$E$5:$E$104,$A13,Ventas!$G$5:$G$104))</f>
        <v>18</v>
      </c>
      <c r="I13" s="9">
        <f t="shared" si="2"/>
        <v>3.5087719298245612E-2</v>
      </c>
      <c r="J13" s="121">
        <f t="shared" si="3"/>
        <v>314470.8</v>
      </c>
      <c r="K13" s="127" t="str">
        <f t="shared" si="4"/>
        <v>ALTA</v>
      </c>
      <c r="L13" s="127" t="str">
        <f t="shared" si="5"/>
        <v>ALTA</v>
      </c>
      <c r="M13" s="127" t="str">
        <f t="shared" si="6"/>
        <v>ESTRELLA</v>
      </c>
    </row>
    <row r="14" spans="1:13" x14ac:dyDescent="0.3">
      <c r="A14" s="117" t="s">
        <v>241</v>
      </c>
      <c r="B14" s="117" t="s">
        <v>279</v>
      </c>
      <c r="C14" s="117" t="s">
        <v>276</v>
      </c>
      <c r="D14" s="118">
        <v>19000</v>
      </c>
      <c r="E14" s="121">
        <f>IF($A14="",0,SUMIF(Recetas!$A$5:$A$89,$A14,Recetas!$G$5:$G$89))</f>
        <v>6306.1</v>
      </c>
      <c r="F14" s="9">
        <f t="shared" si="0"/>
        <v>0.33190000000000003</v>
      </c>
      <c r="G14" s="121">
        <f t="shared" si="1"/>
        <v>12693.9</v>
      </c>
      <c r="H14" s="125">
        <f>IF($A14="",0,SUMIF(Ventas!$E$5:$E$104,$A14,Ventas!$G$5:$G$104))</f>
        <v>24</v>
      </c>
      <c r="I14" s="9">
        <f t="shared" si="2"/>
        <v>4.6783625730994149E-2</v>
      </c>
      <c r="J14" s="121">
        <f t="shared" si="3"/>
        <v>304653.59999999998</v>
      </c>
      <c r="K14" s="127" t="str">
        <f t="shared" si="4"/>
        <v>ALTA</v>
      </c>
      <c r="L14" s="127" t="str">
        <f t="shared" si="5"/>
        <v>BAJA</v>
      </c>
      <c r="M14" s="127" t="str">
        <f t="shared" si="6"/>
        <v>CABALLO DE BATALLA</v>
      </c>
    </row>
    <row r="15" spans="1:13" x14ac:dyDescent="0.3">
      <c r="A15" s="117" t="s">
        <v>242</v>
      </c>
      <c r="B15" s="117" t="s">
        <v>280</v>
      </c>
      <c r="C15" s="117" t="s">
        <v>276</v>
      </c>
      <c r="D15" s="118">
        <v>22000</v>
      </c>
      <c r="E15" s="121">
        <f>IF($A15="",0,SUMIF(Recetas!$A$5:$A$89,$A15,Recetas!$G$5:$G$89))</f>
        <v>6436.7999999999993</v>
      </c>
      <c r="F15" s="9">
        <f t="shared" si="0"/>
        <v>0.29258181818181817</v>
      </c>
      <c r="G15" s="121">
        <f t="shared" si="1"/>
        <v>15563.2</v>
      </c>
      <c r="H15" s="125">
        <f>IF($A15="",0,SUMIF(Ventas!$E$5:$E$104,$A15,Ventas!$G$5:$G$104))</f>
        <v>29</v>
      </c>
      <c r="I15" s="9">
        <f t="shared" si="2"/>
        <v>5.6530214424951264E-2</v>
      </c>
      <c r="J15" s="121">
        <f t="shared" si="3"/>
        <v>451332.80000000005</v>
      </c>
      <c r="K15" s="127" t="str">
        <f t="shared" si="4"/>
        <v>ALTA</v>
      </c>
      <c r="L15" s="127" t="str">
        <f t="shared" si="5"/>
        <v>ALTA</v>
      </c>
      <c r="M15" s="127" t="str">
        <f t="shared" si="6"/>
        <v>ESTRELLA</v>
      </c>
    </row>
    <row r="16" spans="1:13" x14ac:dyDescent="0.3">
      <c r="A16" s="117" t="s">
        <v>243</v>
      </c>
      <c r="B16" s="117" t="s">
        <v>281</v>
      </c>
      <c r="C16" s="117" t="s">
        <v>276</v>
      </c>
      <c r="D16" s="118">
        <v>30000</v>
      </c>
      <c r="E16" s="121">
        <f>IF($A16="",0,SUMIF(Recetas!$A$5:$A$89,$A16,Recetas!$G$5:$G$89))</f>
        <v>9994.1</v>
      </c>
      <c r="F16" s="9">
        <f t="shared" si="0"/>
        <v>0.33313666666666669</v>
      </c>
      <c r="G16" s="121">
        <f t="shared" si="1"/>
        <v>20005.900000000001</v>
      </c>
      <c r="H16" s="125">
        <f>IF($A16="",0,SUMIF(Ventas!$E$5:$E$104,$A16,Ventas!$G$5:$G$104))</f>
        <v>14</v>
      </c>
      <c r="I16" s="9">
        <f t="shared" si="2"/>
        <v>2.7290448343079921E-2</v>
      </c>
      <c r="J16" s="121">
        <f t="shared" si="3"/>
        <v>280082.60000000003</v>
      </c>
      <c r="K16" s="127" t="str">
        <f t="shared" si="4"/>
        <v>BAJA</v>
      </c>
      <c r="L16" s="127" t="str">
        <f t="shared" si="5"/>
        <v>ALTA</v>
      </c>
      <c r="M16" s="127" t="str">
        <f t="shared" si="6"/>
        <v>ROMPECABEZAS</v>
      </c>
    </row>
    <row r="17" spans="1:13" x14ac:dyDescent="0.3">
      <c r="A17" s="117" t="s">
        <v>244</v>
      </c>
      <c r="B17" s="117" t="s">
        <v>282</v>
      </c>
      <c r="C17" s="117" t="s">
        <v>283</v>
      </c>
      <c r="D17" s="118">
        <v>26000</v>
      </c>
      <c r="E17" s="121">
        <f>IF($A17="",0,SUMIF(Recetas!$A$5:$A$89,$A17,Recetas!$G$5:$G$89))</f>
        <v>8156.2</v>
      </c>
      <c r="F17" s="9">
        <f t="shared" si="0"/>
        <v>0.31369999999999998</v>
      </c>
      <c r="G17" s="121">
        <f t="shared" si="1"/>
        <v>17843.8</v>
      </c>
      <c r="H17" s="125">
        <f>IF($A17="",0,SUMIF(Ventas!$E$5:$E$104,$A17,Ventas!$G$5:$G$104))</f>
        <v>8</v>
      </c>
      <c r="I17" s="9">
        <f t="shared" si="2"/>
        <v>1.5594541910331383E-2</v>
      </c>
      <c r="J17" s="121">
        <f t="shared" si="3"/>
        <v>142750.39999999999</v>
      </c>
      <c r="K17" s="127" t="str">
        <f t="shared" si="4"/>
        <v>BAJA</v>
      </c>
      <c r="L17" s="127" t="str">
        <f t="shared" si="5"/>
        <v>ALTA</v>
      </c>
      <c r="M17" s="127" t="str">
        <f t="shared" si="6"/>
        <v>ROMPECABEZAS</v>
      </c>
    </row>
    <row r="18" spans="1:13" x14ac:dyDescent="0.3">
      <c r="A18" s="117" t="s">
        <v>245</v>
      </c>
      <c r="B18" s="117" t="s">
        <v>284</v>
      </c>
      <c r="C18" s="117" t="s">
        <v>283</v>
      </c>
      <c r="D18" s="118">
        <v>19000</v>
      </c>
      <c r="E18" s="121">
        <f>IF($A18="",0,SUMIF(Recetas!$A$5:$A$89,$A18,Recetas!$G$5:$G$89))</f>
        <v>4606.6000000000004</v>
      </c>
      <c r="F18" s="9">
        <f t="shared" si="0"/>
        <v>0.24245263157894739</v>
      </c>
      <c r="G18" s="121">
        <f t="shared" si="1"/>
        <v>14393.4</v>
      </c>
      <c r="H18" s="125">
        <f>IF($A18="",0,SUMIF(Ventas!$E$5:$E$104,$A18,Ventas!$G$5:$G$104))</f>
        <v>1</v>
      </c>
      <c r="I18" s="9">
        <f t="shared" si="2"/>
        <v>1.9493177387914229E-3</v>
      </c>
      <c r="J18" s="121">
        <f t="shared" si="3"/>
        <v>14393.4</v>
      </c>
      <c r="K18" s="127" t="str">
        <f t="shared" si="4"/>
        <v>BAJA</v>
      </c>
      <c r="L18" s="127" t="str">
        <f t="shared" si="5"/>
        <v>ALTA</v>
      </c>
      <c r="M18" s="127" t="str">
        <f t="shared" si="6"/>
        <v>ROMPECABEZAS</v>
      </c>
    </row>
    <row r="19" spans="1:13" x14ac:dyDescent="0.3">
      <c r="A19" s="117" t="s">
        <v>246</v>
      </c>
      <c r="B19" s="117" t="s">
        <v>285</v>
      </c>
      <c r="C19" s="117" t="s">
        <v>283</v>
      </c>
      <c r="D19" s="118">
        <v>14000</v>
      </c>
      <c r="E19" s="121">
        <f>IF($A19="",0,SUMIF(Recetas!$A$5:$A$89,$A19,Recetas!$G$5:$G$89))</f>
        <v>3936.2</v>
      </c>
      <c r="F19" s="9">
        <f t="shared" si="0"/>
        <v>0.28115714285714283</v>
      </c>
      <c r="G19" s="121">
        <f t="shared" si="1"/>
        <v>10063.799999999999</v>
      </c>
      <c r="H19" s="125">
        <f>IF($A19="",0,SUMIF(Ventas!$E$5:$E$104,$A19,Ventas!$G$5:$G$104))</f>
        <v>10</v>
      </c>
      <c r="I19" s="9">
        <f t="shared" si="2"/>
        <v>1.9493177387914229E-2</v>
      </c>
      <c r="J19" s="121">
        <f t="shared" si="3"/>
        <v>100638</v>
      </c>
      <c r="K19" s="127" t="str">
        <f t="shared" si="4"/>
        <v>BAJA</v>
      </c>
      <c r="L19" s="127" t="str">
        <f t="shared" si="5"/>
        <v>BAJA</v>
      </c>
      <c r="M19" s="127" t="str">
        <f t="shared" si="6"/>
        <v>PERRO</v>
      </c>
    </row>
    <row r="20" spans="1:13" x14ac:dyDescent="0.3">
      <c r="A20" s="117" t="s">
        <v>247</v>
      </c>
      <c r="B20" s="117" t="s">
        <v>286</v>
      </c>
      <c r="C20" s="117" t="s">
        <v>283</v>
      </c>
      <c r="D20" s="118">
        <v>16000</v>
      </c>
      <c r="E20" s="121">
        <f>IF($A20="",0,SUMIF(Recetas!$A$5:$A$89,$A20,Recetas!$G$5:$G$89))</f>
        <v>4797.2000000000007</v>
      </c>
      <c r="F20" s="9">
        <f t="shared" si="0"/>
        <v>0.29982500000000006</v>
      </c>
      <c r="G20" s="121">
        <f t="shared" si="1"/>
        <v>11202.8</v>
      </c>
      <c r="H20" s="125">
        <f>IF($A20="",0,SUMIF(Ventas!$E$5:$E$104,$A20,Ventas!$G$5:$G$104))</f>
        <v>14</v>
      </c>
      <c r="I20" s="9">
        <f t="shared" si="2"/>
        <v>2.7290448343079921E-2</v>
      </c>
      <c r="J20" s="121">
        <f t="shared" si="3"/>
        <v>156839.19999999998</v>
      </c>
      <c r="K20" s="127" t="str">
        <f t="shared" si="4"/>
        <v>BAJA</v>
      </c>
      <c r="L20" s="127" t="str">
        <f t="shared" si="5"/>
        <v>BAJA</v>
      </c>
      <c r="M20" s="127" t="str">
        <f t="shared" si="6"/>
        <v>PERRO</v>
      </c>
    </row>
    <row r="21" spans="1:13" x14ac:dyDescent="0.3">
      <c r="A21" s="117" t="s">
        <v>248</v>
      </c>
      <c r="B21" s="117" t="s">
        <v>287</v>
      </c>
      <c r="C21" s="117" t="s">
        <v>283</v>
      </c>
      <c r="D21" s="118">
        <v>12000</v>
      </c>
      <c r="E21" s="121">
        <f>IF($A21="",0,SUMIF(Recetas!$A$5:$A$89,$A21,Recetas!$G$5:$G$89))</f>
        <v>3068.9</v>
      </c>
      <c r="F21" s="9">
        <f t="shared" si="0"/>
        <v>0.2557416666666667</v>
      </c>
      <c r="G21" s="121">
        <f t="shared" si="1"/>
        <v>8931.1</v>
      </c>
      <c r="H21" s="125">
        <f>IF($A21="",0,SUMIF(Ventas!$E$5:$E$104,$A21,Ventas!$G$5:$G$104))</f>
        <v>5</v>
      </c>
      <c r="I21" s="9">
        <f t="shared" si="2"/>
        <v>9.7465886939571145E-3</v>
      </c>
      <c r="J21" s="121">
        <f t="shared" si="3"/>
        <v>44655.5</v>
      </c>
      <c r="K21" s="127" t="str">
        <f t="shared" si="4"/>
        <v>BAJA</v>
      </c>
      <c r="L21" s="127" t="str">
        <f t="shared" si="5"/>
        <v>BAJA</v>
      </c>
      <c r="M21" s="127" t="str">
        <f t="shared" si="6"/>
        <v>PERRO</v>
      </c>
    </row>
    <row r="22" spans="1:13" x14ac:dyDescent="0.3">
      <c r="A22" s="117" t="s">
        <v>249</v>
      </c>
      <c r="B22" s="117" t="s">
        <v>288</v>
      </c>
      <c r="C22" s="117" t="s">
        <v>283</v>
      </c>
      <c r="D22" s="118">
        <v>9000</v>
      </c>
      <c r="E22" s="121">
        <f>IF($A22="",0,SUMIF(Recetas!$A$5:$A$89,$A22,Recetas!$G$5:$G$89))</f>
        <v>2218.1</v>
      </c>
      <c r="F22" s="9">
        <f t="shared" si="0"/>
        <v>0.24645555555555554</v>
      </c>
      <c r="G22" s="121">
        <f t="shared" si="1"/>
        <v>6781.9</v>
      </c>
      <c r="H22" s="125">
        <f>IF($A22="",0,SUMIF(Ventas!$E$5:$E$104,$A22,Ventas!$G$5:$G$104))</f>
        <v>32</v>
      </c>
      <c r="I22" s="9">
        <f t="shared" si="2"/>
        <v>6.2378167641325533E-2</v>
      </c>
      <c r="J22" s="121">
        <f t="shared" si="3"/>
        <v>217020.79999999999</v>
      </c>
      <c r="K22" s="127" t="str">
        <f t="shared" si="4"/>
        <v>ALTA</v>
      </c>
      <c r="L22" s="127" t="str">
        <f t="shared" si="5"/>
        <v>BAJA</v>
      </c>
      <c r="M22" s="127" t="str">
        <f t="shared" si="6"/>
        <v>CABALLO DE BATALLA</v>
      </c>
    </row>
    <row r="23" spans="1:13" x14ac:dyDescent="0.3">
      <c r="A23" s="117" t="s">
        <v>250</v>
      </c>
      <c r="B23" s="117" t="s">
        <v>289</v>
      </c>
      <c r="C23" s="117" t="s">
        <v>290</v>
      </c>
      <c r="D23" s="118">
        <v>5000</v>
      </c>
      <c r="E23" s="121">
        <f>IF($A23="",0,SUMIF(Recetas!$A$5:$A$89,$A23,Recetas!$G$5:$G$89))</f>
        <v>1113.3999999999999</v>
      </c>
      <c r="F23" s="9">
        <f t="shared" si="0"/>
        <v>0.22267999999999996</v>
      </c>
      <c r="G23" s="121">
        <f t="shared" si="1"/>
        <v>3886.6000000000004</v>
      </c>
      <c r="H23" s="125">
        <f>IF($A23="",0,SUMIF(Ventas!$E$5:$E$104,$A23,Ventas!$G$5:$G$104))</f>
        <v>63</v>
      </c>
      <c r="I23" s="9">
        <f t="shared" si="2"/>
        <v>0.12280701754385964</v>
      </c>
      <c r="J23" s="121">
        <f t="shared" si="3"/>
        <v>244855.80000000002</v>
      </c>
      <c r="K23" s="127" t="str">
        <f t="shared" si="4"/>
        <v>ALTA</v>
      </c>
      <c r="L23" s="127" t="str">
        <f t="shared" si="5"/>
        <v>BAJA</v>
      </c>
      <c r="M23" s="127" t="str">
        <f t="shared" si="6"/>
        <v>CABALLO DE BATALLA</v>
      </c>
    </row>
    <row r="24" spans="1:13" x14ac:dyDescent="0.3">
      <c r="A24" s="117" t="s">
        <v>251</v>
      </c>
      <c r="B24" s="117" t="s">
        <v>291</v>
      </c>
      <c r="C24" s="117" t="s">
        <v>290</v>
      </c>
      <c r="D24" s="118">
        <v>8000</v>
      </c>
      <c r="E24" s="121">
        <f>IF($A24="",0,SUMIF(Recetas!$A$5:$A$89,$A24,Recetas!$G$5:$G$89))</f>
        <v>1453.0000000000002</v>
      </c>
      <c r="F24" s="9">
        <f t="shared" si="0"/>
        <v>0.18162500000000004</v>
      </c>
      <c r="G24" s="121">
        <f t="shared" si="1"/>
        <v>6547</v>
      </c>
      <c r="H24" s="125">
        <f>IF($A24="",0,SUMIF(Ventas!$E$5:$E$104,$A24,Ventas!$G$5:$G$104))</f>
        <v>55</v>
      </c>
      <c r="I24" s="9">
        <f t="shared" si="2"/>
        <v>0.10721247563352826</v>
      </c>
      <c r="J24" s="121">
        <f t="shared" si="3"/>
        <v>360085</v>
      </c>
      <c r="K24" s="127" t="str">
        <f t="shared" si="4"/>
        <v>ALTA</v>
      </c>
      <c r="L24" s="127" t="str">
        <f t="shared" si="5"/>
        <v>BAJA</v>
      </c>
      <c r="M24" s="127" t="str">
        <f t="shared" si="6"/>
        <v>CABALLO DE BATALLA</v>
      </c>
    </row>
    <row r="25" spans="1:13" x14ac:dyDescent="0.3">
      <c r="A25" s="117" t="s">
        <v>252</v>
      </c>
      <c r="B25" s="117" t="s">
        <v>292</v>
      </c>
      <c r="C25" s="117" t="s">
        <v>290</v>
      </c>
      <c r="D25" s="118">
        <v>12000</v>
      </c>
      <c r="E25" s="121">
        <f>IF($A25="",0,SUMIF(Recetas!$A$5:$A$89,$A25,Recetas!$G$5:$G$89))</f>
        <v>3251.3999999999996</v>
      </c>
      <c r="F25" s="9">
        <f t="shared" si="0"/>
        <v>0.27094999999999997</v>
      </c>
      <c r="G25" s="121">
        <f t="shared" si="1"/>
        <v>8748.6</v>
      </c>
      <c r="H25" s="125">
        <f>IF($A25="",0,SUMIF(Ventas!$E$5:$E$104,$A25,Ventas!$G$5:$G$104))</f>
        <v>4</v>
      </c>
      <c r="I25" s="9">
        <f t="shared" si="2"/>
        <v>7.7972709551656916E-3</v>
      </c>
      <c r="J25" s="121">
        <f t="shared" si="3"/>
        <v>34994.400000000001</v>
      </c>
      <c r="K25" s="127" t="str">
        <f t="shared" si="4"/>
        <v>BAJA</v>
      </c>
      <c r="L25" s="127" t="str">
        <f t="shared" si="5"/>
        <v>BAJA</v>
      </c>
      <c r="M25" s="127" t="str">
        <f t="shared" si="6"/>
        <v>PERRO</v>
      </c>
    </row>
    <row r="26" spans="1:13" x14ac:dyDescent="0.3">
      <c r="A26" s="117" t="s">
        <v>253</v>
      </c>
      <c r="B26" s="117" t="s">
        <v>293</v>
      </c>
      <c r="C26" s="117" t="s">
        <v>290</v>
      </c>
      <c r="D26" s="118">
        <v>4500</v>
      </c>
      <c r="E26" s="121">
        <f>IF($A26="",0,SUMIF(Recetas!$A$5:$A$89,$A26,Recetas!$G$5:$G$89))</f>
        <v>775.6</v>
      </c>
      <c r="F26" s="9">
        <f t="shared" si="0"/>
        <v>0.17235555555555557</v>
      </c>
      <c r="G26" s="121">
        <f t="shared" si="1"/>
        <v>3724.4</v>
      </c>
      <c r="H26" s="125">
        <f>IF($A26="",0,SUMIF(Ventas!$E$5:$E$104,$A26,Ventas!$G$5:$G$104))</f>
        <v>24</v>
      </c>
      <c r="I26" s="9">
        <f t="shared" si="2"/>
        <v>4.6783625730994149E-2</v>
      </c>
      <c r="J26" s="121">
        <f t="shared" si="3"/>
        <v>89385.600000000006</v>
      </c>
      <c r="K26" s="127" t="str">
        <f t="shared" si="4"/>
        <v>ALTA</v>
      </c>
      <c r="L26" s="127" t="str">
        <f t="shared" si="5"/>
        <v>BAJA</v>
      </c>
      <c r="M26" s="127" t="str">
        <f t="shared" si="6"/>
        <v>CABALLO DE BATALLA</v>
      </c>
    </row>
    <row r="27" spans="1:13" x14ac:dyDescent="0.3">
      <c r="A27" s="117" t="s">
        <v>254</v>
      </c>
      <c r="B27" s="117" t="s">
        <v>294</v>
      </c>
      <c r="C27" s="117" t="s">
        <v>295</v>
      </c>
      <c r="D27" s="118">
        <v>13000</v>
      </c>
      <c r="E27" s="121">
        <f>IF($A27="",0,SUMIF(Recetas!$A$5:$A$89,$A27,Recetas!$G$5:$G$89))</f>
        <v>2745.3399999999997</v>
      </c>
      <c r="F27" s="9">
        <f t="shared" si="0"/>
        <v>0.21117999999999998</v>
      </c>
      <c r="G27" s="121">
        <f t="shared" si="1"/>
        <v>10254.66</v>
      </c>
      <c r="H27" s="125">
        <f>IF($A27="",0,SUMIF(Ventas!$E$5:$E$104,$A27,Ventas!$G$5:$G$104))</f>
        <v>11</v>
      </c>
      <c r="I27" s="9">
        <f t="shared" si="2"/>
        <v>2.1442495126705652E-2</v>
      </c>
      <c r="J27" s="121">
        <f t="shared" si="3"/>
        <v>112801.26</v>
      </c>
      <c r="K27" s="127" t="str">
        <f t="shared" si="4"/>
        <v>BAJA</v>
      </c>
      <c r="L27" s="127" t="str">
        <f t="shared" si="5"/>
        <v>BAJA</v>
      </c>
      <c r="M27" s="127" t="str">
        <f t="shared" si="6"/>
        <v>PERRO</v>
      </c>
    </row>
    <row r="28" spans="1:13" x14ac:dyDescent="0.3">
      <c r="A28" s="117" t="s">
        <v>255</v>
      </c>
      <c r="B28" s="117" t="s">
        <v>296</v>
      </c>
      <c r="C28" s="117" t="s">
        <v>295</v>
      </c>
      <c r="D28" s="118">
        <v>15000</v>
      </c>
      <c r="E28" s="121">
        <f>IF($A28="",0,SUMIF(Recetas!$A$5:$A$89,$A28,Recetas!$G$5:$G$89))</f>
        <v>3645.6</v>
      </c>
      <c r="F28" s="9">
        <f t="shared" si="0"/>
        <v>0.24304000000000001</v>
      </c>
      <c r="G28" s="121">
        <f t="shared" si="1"/>
        <v>11354.4</v>
      </c>
      <c r="H28" s="125">
        <f>IF($A28="",0,SUMIF(Ventas!$E$5:$E$104,$A28,Ventas!$G$5:$G$104))</f>
        <v>5</v>
      </c>
      <c r="I28" s="9">
        <f t="shared" si="2"/>
        <v>9.7465886939571145E-3</v>
      </c>
      <c r="J28" s="121">
        <f t="shared" si="3"/>
        <v>56772</v>
      </c>
      <c r="K28" s="127" t="str">
        <f t="shared" si="4"/>
        <v>BAJA</v>
      </c>
      <c r="L28" s="127" t="str">
        <f t="shared" si="5"/>
        <v>BAJA</v>
      </c>
      <c r="M28" s="127" t="str">
        <f t="shared" si="6"/>
        <v>PERRO</v>
      </c>
    </row>
    <row r="29" spans="1:13" ht="15" customHeight="1" x14ac:dyDescent="0.3"/>
  </sheetData>
  <sheetProtection sheet="1" objects="1" scenarios="1" formatCells="0" formatColumns="0" formatRows="0" insertRows="0" deleteRows="0" sort="0" autoFilter="0" pivotTables="0"/>
  <mergeCells count="2">
    <mergeCell ref="A2:M2"/>
    <mergeCell ref="A1:M1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04"/>
  <sheetViews>
    <sheetView showGridLines="0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36" sqref="F36"/>
    </sheetView>
  </sheetViews>
  <sheetFormatPr baseColWidth="10" defaultColWidth="8.6640625" defaultRowHeight="14.4" x14ac:dyDescent="0.3"/>
  <cols>
    <col min="1" max="1" width="11" style="1" customWidth="1"/>
    <col min="2" max="2" width="9" style="1" customWidth="1"/>
    <col min="3" max="3" width="17" style="1" customWidth="1"/>
    <col min="4" max="4" width="13" style="1" customWidth="1"/>
    <col min="5" max="5" width="14" style="1" customWidth="1"/>
    <col min="6" max="6" width="28" style="1" customWidth="1"/>
    <col min="7" max="7" width="10" style="1" customWidth="1"/>
    <col min="8" max="8" width="13" style="1" customWidth="1"/>
    <col min="9" max="9" width="11" style="1" customWidth="1"/>
    <col min="10" max="11" width="14" style="1" customWidth="1"/>
    <col min="12" max="12" width="15" style="1" customWidth="1"/>
    <col min="13" max="13" width="14" style="1" customWidth="1"/>
    <col min="14" max="15" width="17" style="1" customWidth="1"/>
    <col min="16" max="16" width="10" style="1" customWidth="1"/>
    <col min="17" max="19" width="8.6640625" style="1" customWidth="1"/>
    <col min="20" max="16384" width="8.6640625" style="1"/>
  </cols>
  <sheetData>
    <row r="1" spans="1:16" ht="30" customHeight="1" x14ac:dyDescent="0.3">
      <c r="A1" s="181" t="s">
        <v>297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</row>
    <row r="2" spans="1:16" ht="18" customHeight="1" x14ac:dyDescent="0.3">
      <c r="A2" s="179" t="s">
        <v>321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</row>
    <row r="3" spans="1:16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35.4" customHeight="1" x14ac:dyDescent="0.3">
      <c r="A4" s="116" t="s">
        <v>298</v>
      </c>
      <c r="B4" s="116" t="s">
        <v>89</v>
      </c>
      <c r="C4" s="116" t="s">
        <v>76</v>
      </c>
      <c r="D4" s="116" t="s">
        <v>96</v>
      </c>
      <c r="E4" s="116" t="s">
        <v>224</v>
      </c>
      <c r="F4" s="116" t="s">
        <v>257</v>
      </c>
      <c r="G4" s="116" t="s">
        <v>299</v>
      </c>
      <c r="H4" s="116" t="s">
        <v>259</v>
      </c>
      <c r="I4" s="116" t="s">
        <v>300</v>
      </c>
      <c r="J4" s="116" t="s">
        <v>77</v>
      </c>
      <c r="K4" s="116" t="s">
        <v>301</v>
      </c>
      <c r="L4" s="116" t="s">
        <v>302</v>
      </c>
      <c r="M4" s="116" t="s">
        <v>80</v>
      </c>
      <c r="N4" s="116" t="s">
        <v>303</v>
      </c>
      <c r="O4" s="116" t="s">
        <v>63</v>
      </c>
      <c r="P4" s="116" t="s">
        <v>81</v>
      </c>
    </row>
    <row r="5" spans="1:16" x14ac:dyDescent="0.3">
      <c r="A5" s="128">
        <v>46204</v>
      </c>
      <c r="B5" s="117" t="s">
        <v>91</v>
      </c>
      <c r="C5" s="117" t="s">
        <v>82</v>
      </c>
      <c r="D5" s="117" t="s">
        <v>98</v>
      </c>
      <c r="E5" s="117" t="s">
        <v>232</v>
      </c>
      <c r="F5" s="7" t="str">
        <f>IFERROR(INDEX(Menú!$B$5:$B$28,MATCH($E5,Menú!$A$5:$A$28,0)),"")</f>
        <v>Pollo a la plancha</v>
      </c>
      <c r="G5" s="129">
        <v>4</v>
      </c>
      <c r="H5" s="8">
        <f>IFERROR(INDEX(Menú!$D$5:$D$28,MATCH($E5,Menú!$A$5:$A$28,0)),"")</f>
        <v>32000</v>
      </c>
      <c r="I5" s="130">
        <v>0</v>
      </c>
      <c r="J5" s="8">
        <f t="shared" ref="J5:J68" si="0">IFERROR($G5*$H5*(1-$I5),"")</f>
        <v>128000</v>
      </c>
      <c r="K5" s="9">
        <f>IF($C5="",0,IF($C5="Salón",Instrucciones!$C$18,IF($C5="Para llevar",Instrucciones!$C$19,IF($C5="Domicilio propio",Instrucciones!$C$20,IF($C5="App de domicilio",Instrucciones!$C$21,0)))))</f>
        <v>0</v>
      </c>
      <c r="L5" s="8">
        <f t="shared" ref="L5:L68" si="1">IFERROR($J5*$K5,"")</f>
        <v>0</v>
      </c>
      <c r="M5" s="8">
        <f t="shared" ref="M5:M68" si="2">IFERROR($J5-$L5,"")</f>
        <v>128000</v>
      </c>
      <c r="N5" s="8">
        <f>IFERROR($G5*INDEX(Menú!$E$5:$E$28,MATCH($E5,Menú!$A$5:$A$28,0)),"")</f>
        <v>39201.200000000004</v>
      </c>
      <c r="O5" s="8">
        <f t="shared" ref="O5:O68" si="3">IFERROR($M5-$N5,"")</f>
        <v>88798.799999999988</v>
      </c>
      <c r="P5" s="9">
        <f t="shared" ref="P5:P68" si="4">IFERROR($O5/$M5,"")</f>
        <v>0.69374062499999989</v>
      </c>
    </row>
    <row r="6" spans="1:16" x14ac:dyDescent="0.3">
      <c r="A6" s="128">
        <v>46204</v>
      </c>
      <c r="B6" s="117" t="s">
        <v>91</v>
      </c>
      <c r="C6" s="117" t="s">
        <v>85</v>
      </c>
      <c r="D6" s="117" t="s">
        <v>98</v>
      </c>
      <c r="E6" s="117" t="s">
        <v>234</v>
      </c>
      <c r="F6" s="7" t="str">
        <f>IFERROR(INDEX(Menú!$B$5:$B$28,MATCH($E6,Menú!$A$5:$A$28,0)),"")</f>
        <v>Cerdo BBQ</v>
      </c>
      <c r="G6" s="129">
        <v>1</v>
      </c>
      <c r="H6" s="8">
        <f>IFERROR(INDEX(Menú!$D$5:$D$28,MATCH($E6,Menú!$A$5:$A$28,0)),"")</f>
        <v>38000</v>
      </c>
      <c r="I6" s="130">
        <v>0</v>
      </c>
      <c r="J6" s="8">
        <f t="shared" si="0"/>
        <v>38000</v>
      </c>
      <c r="K6" s="9">
        <f>IF($C6="",0,IF($C6="Salón",Instrucciones!$C$18,IF($C6="Para llevar",Instrucciones!$C$19,IF($C6="Domicilio propio",Instrucciones!$C$20,IF($C6="App de domicilio",Instrucciones!$C$21,0)))))</f>
        <v>0.22</v>
      </c>
      <c r="L6" s="8">
        <f t="shared" si="1"/>
        <v>8360</v>
      </c>
      <c r="M6" s="8">
        <f t="shared" si="2"/>
        <v>29640</v>
      </c>
      <c r="N6" s="8">
        <f>IFERROR($G6*INDEX(Menú!$E$5:$E$28,MATCH($E6,Menú!$A$5:$A$28,0)),"")</f>
        <v>13368</v>
      </c>
      <c r="O6" s="8">
        <f t="shared" si="3"/>
        <v>16272</v>
      </c>
      <c r="P6" s="9">
        <f t="shared" si="4"/>
        <v>0.54898785425101215</v>
      </c>
    </row>
    <row r="7" spans="1:16" x14ac:dyDescent="0.3">
      <c r="A7" s="128">
        <v>46204</v>
      </c>
      <c r="B7" s="117" t="s">
        <v>91</v>
      </c>
      <c r="C7" s="117" t="s">
        <v>84</v>
      </c>
      <c r="D7" s="117" t="s">
        <v>98</v>
      </c>
      <c r="E7" s="117" t="s">
        <v>239</v>
      </c>
      <c r="F7" s="7" t="str">
        <f>IFERROR(INDEX(Menú!$B$5:$B$28,MATCH($E7,Menú!$A$5:$A$28,0)),"")</f>
        <v>Hamburguesa doble</v>
      </c>
      <c r="G7" s="129">
        <v>2</v>
      </c>
      <c r="H7" s="8">
        <f>IFERROR(INDEX(Menú!$D$5:$D$28,MATCH($E7,Menú!$A$5:$A$28,0)),"")</f>
        <v>36000</v>
      </c>
      <c r="I7" s="130">
        <v>0.15</v>
      </c>
      <c r="J7" s="8">
        <f t="shared" si="0"/>
        <v>61200</v>
      </c>
      <c r="K7" s="9">
        <f>IF($C7="",0,IF($C7="Salón",Instrucciones!$C$18,IF($C7="Para llevar",Instrucciones!$C$19,IF($C7="Domicilio propio",Instrucciones!$C$20,IF($C7="App de domicilio",Instrucciones!$C$21,0)))))</f>
        <v>0.06</v>
      </c>
      <c r="L7" s="8">
        <f t="shared" si="1"/>
        <v>3672</v>
      </c>
      <c r="M7" s="8">
        <f t="shared" si="2"/>
        <v>57528</v>
      </c>
      <c r="N7" s="8">
        <f>IFERROR($G7*INDEX(Menú!$E$5:$E$28,MATCH($E7,Menú!$A$5:$A$28,0)),"")</f>
        <v>22070.400000000001</v>
      </c>
      <c r="O7" s="8">
        <f t="shared" si="3"/>
        <v>35457.599999999999</v>
      </c>
      <c r="P7" s="9">
        <f t="shared" si="4"/>
        <v>0.61635377555277426</v>
      </c>
    </row>
    <row r="8" spans="1:16" x14ac:dyDescent="0.3">
      <c r="A8" s="128">
        <v>46204</v>
      </c>
      <c r="B8" s="117" t="s">
        <v>91</v>
      </c>
      <c r="C8" s="117" t="s">
        <v>83</v>
      </c>
      <c r="D8" s="117" t="s">
        <v>98</v>
      </c>
      <c r="E8" s="117" t="s">
        <v>250</v>
      </c>
      <c r="F8" s="7" t="str">
        <f>IFERROR(INDEX(Menú!$B$5:$B$28,MATCH($E8,Menú!$A$5:$A$28,0)),"")</f>
        <v>Gaseosa personal</v>
      </c>
      <c r="G8" s="129">
        <v>9</v>
      </c>
      <c r="H8" s="8">
        <f>IFERROR(INDEX(Menú!$D$5:$D$28,MATCH($E8,Menú!$A$5:$A$28,0)),"")</f>
        <v>5000</v>
      </c>
      <c r="I8" s="130">
        <v>0</v>
      </c>
      <c r="J8" s="8">
        <f t="shared" si="0"/>
        <v>45000</v>
      </c>
      <c r="K8" s="9">
        <f>IF($C8="",0,IF($C8="Salón",Instrucciones!$C$18,IF($C8="Para llevar",Instrucciones!$C$19,IF($C8="Domicilio propio",Instrucciones!$C$20,IF($C8="App de domicilio",Instrucciones!$C$21,0)))))</f>
        <v>0</v>
      </c>
      <c r="L8" s="8">
        <f t="shared" si="1"/>
        <v>0</v>
      </c>
      <c r="M8" s="8">
        <f t="shared" si="2"/>
        <v>45000</v>
      </c>
      <c r="N8" s="8">
        <f>IFERROR($G8*INDEX(Menú!$E$5:$E$28,MATCH($E8,Menú!$A$5:$A$28,0)),"")</f>
        <v>10020.599999999999</v>
      </c>
      <c r="O8" s="8">
        <f t="shared" si="3"/>
        <v>34979.4</v>
      </c>
      <c r="P8" s="9">
        <f t="shared" si="4"/>
        <v>0.77732000000000001</v>
      </c>
    </row>
    <row r="9" spans="1:16" x14ac:dyDescent="0.3">
      <c r="A9" s="128">
        <v>46204</v>
      </c>
      <c r="B9" s="117" t="s">
        <v>91</v>
      </c>
      <c r="C9" s="117" t="s">
        <v>84</v>
      </c>
      <c r="D9" s="117" t="s">
        <v>100</v>
      </c>
      <c r="E9" s="117" t="s">
        <v>251</v>
      </c>
      <c r="F9" s="7" t="str">
        <f>IFERROR(INDEX(Menú!$B$5:$B$28,MATCH($E9,Menú!$A$5:$A$28,0)),"")</f>
        <v>Jugo natural en agua</v>
      </c>
      <c r="G9" s="129">
        <v>6</v>
      </c>
      <c r="H9" s="8">
        <f>IFERROR(INDEX(Menú!$D$5:$D$28,MATCH($E9,Menú!$A$5:$A$28,0)),"")</f>
        <v>8000</v>
      </c>
      <c r="I9" s="130">
        <v>0</v>
      </c>
      <c r="J9" s="8">
        <f t="shared" si="0"/>
        <v>48000</v>
      </c>
      <c r="K9" s="9">
        <f>IF($C9="",0,IF($C9="Salón",Instrucciones!$C$18,IF($C9="Para llevar",Instrucciones!$C$19,IF($C9="Domicilio propio",Instrucciones!$C$20,IF($C9="App de domicilio",Instrucciones!$C$21,0)))))</f>
        <v>0.06</v>
      </c>
      <c r="L9" s="8">
        <f t="shared" si="1"/>
        <v>2880</v>
      </c>
      <c r="M9" s="8">
        <f t="shared" si="2"/>
        <v>45120</v>
      </c>
      <c r="N9" s="8">
        <f>IFERROR($G9*INDEX(Menú!$E$5:$E$28,MATCH($E9,Menú!$A$5:$A$28,0)),"")</f>
        <v>8718.0000000000018</v>
      </c>
      <c r="O9" s="8">
        <f t="shared" si="3"/>
        <v>36402</v>
      </c>
      <c r="P9" s="9">
        <f t="shared" si="4"/>
        <v>0.80678191489361706</v>
      </c>
    </row>
    <row r="10" spans="1:16" x14ac:dyDescent="0.3">
      <c r="A10" s="128">
        <v>46204</v>
      </c>
      <c r="B10" s="117" t="s">
        <v>91</v>
      </c>
      <c r="C10" s="117" t="s">
        <v>83</v>
      </c>
      <c r="D10" s="117" t="s">
        <v>100</v>
      </c>
      <c r="E10" s="117" t="s">
        <v>252</v>
      </c>
      <c r="F10" s="7" t="str">
        <f>IFERROR(INDEX(Menú!$B$5:$B$28,MATCH($E10,Menú!$A$5:$A$28,0)),"")</f>
        <v>Limonada de coco</v>
      </c>
      <c r="G10" s="129">
        <v>4</v>
      </c>
      <c r="H10" s="8">
        <f>IFERROR(INDEX(Menú!$D$5:$D$28,MATCH($E10,Menú!$A$5:$A$28,0)),"")</f>
        <v>12000</v>
      </c>
      <c r="I10" s="130">
        <v>0</v>
      </c>
      <c r="J10" s="8">
        <f t="shared" si="0"/>
        <v>48000</v>
      </c>
      <c r="K10" s="9">
        <f>IF($C10="",0,IF($C10="Salón",Instrucciones!$C$18,IF($C10="Para llevar",Instrucciones!$C$19,IF($C10="Domicilio propio",Instrucciones!$C$20,IF($C10="App de domicilio",Instrucciones!$C$21,0)))))</f>
        <v>0</v>
      </c>
      <c r="L10" s="8">
        <f t="shared" si="1"/>
        <v>0</v>
      </c>
      <c r="M10" s="8">
        <f t="shared" si="2"/>
        <v>48000</v>
      </c>
      <c r="N10" s="8">
        <f>IFERROR($G10*INDEX(Menú!$E$5:$E$28,MATCH($E10,Menú!$A$5:$A$28,0)),"")</f>
        <v>13005.599999999999</v>
      </c>
      <c r="O10" s="8">
        <f t="shared" si="3"/>
        <v>34994.400000000001</v>
      </c>
      <c r="P10" s="9">
        <f t="shared" si="4"/>
        <v>0.72904999999999998</v>
      </c>
    </row>
    <row r="11" spans="1:16" x14ac:dyDescent="0.3">
      <c r="A11" s="128">
        <v>46204</v>
      </c>
      <c r="B11" s="117" t="s">
        <v>92</v>
      </c>
      <c r="C11" s="117" t="s">
        <v>85</v>
      </c>
      <c r="D11" s="117" t="s">
        <v>98</v>
      </c>
      <c r="E11" s="117" t="s">
        <v>235</v>
      </c>
      <c r="F11" s="7" t="str">
        <f>IFERROR(INDEX(Menú!$B$5:$B$28,MATCH($E11,Menú!$A$5:$A$28,0)),"")</f>
        <v>Tilapia al ajillo</v>
      </c>
      <c r="G11" s="129">
        <v>2</v>
      </c>
      <c r="H11" s="8">
        <f>IFERROR(INDEX(Menú!$D$5:$D$28,MATCH($E11,Menú!$A$5:$A$28,0)),"")</f>
        <v>42000</v>
      </c>
      <c r="I11" s="130">
        <v>0</v>
      </c>
      <c r="J11" s="8">
        <f t="shared" si="0"/>
        <v>84000</v>
      </c>
      <c r="K11" s="9">
        <f>IF($C11="",0,IF($C11="Salón",Instrucciones!$C$18,IF($C11="Para llevar",Instrucciones!$C$19,IF($C11="Domicilio propio",Instrucciones!$C$20,IF($C11="App de domicilio",Instrucciones!$C$21,0)))))</f>
        <v>0.22</v>
      </c>
      <c r="L11" s="8">
        <f t="shared" si="1"/>
        <v>18480</v>
      </c>
      <c r="M11" s="8">
        <f t="shared" si="2"/>
        <v>65520</v>
      </c>
      <c r="N11" s="8">
        <f>IFERROR($G11*INDEX(Menú!$E$5:$E$28,MATCH($E11,Menú!$A$5:$A$28,0)),"")</f>
        <v>31038.2</v>
      </c>
      <c r="O11" s="8">
        <f t="shared" si="3"/>
        <v>34481.800000000003</v>
      </c>
      <c r="P11" s="9">
        <f t="shared" si="4"/>
        <v>0.52627899877899886</v>
      </c>
    </row>
    <row r="12" spans="1:16" x14ac:dyDescent="0.3">
      <c r="A12" s="128">
        <v>46204</v>
      </c>
      <c r="B12" s="117" t="s">
        <v>92</v>
      </c>
      <c r="C12" s="117" t="s">
        <v>84</v>
      </c>
      <c r="D12" s="117" t="s">
        <v>97</v>
      </c>
      <c r="E12" s="117" t="s">
        <v>241</v>
      </c>
      <c r="F12" s="7" t="str">
        <f>IFERROR(INDEX(Menú!$B$5:$B$28,MATCH($E12,Menú!$A$5:$A$28,0)),"")</f>
        <v>Perro caliente especial</v>
      </c>
      <c r="G12" s="129">
        <v>5</v>
      </c>
      <c r="H12" s="8">
        <f>IFERROR(INDEX(Menú!$D$5:$D$28,MATCH($E12,Menú!$A$5:$A$28,0)),"")</f>
        <v>19000</v>
      </c>
      <c r="I12" s="130">
        <v>0</v>
      </c>
      <c r="J12" s="8">
        <f t="shared" si="0"/>
        <v>95000</v>
      </c>
      <c r="K12" s="9">
        <f>IF($C12="",0,IF($C12="Salón",Instrucciones!$C$18,IF($C12="Para llevar",Instrucciones!$C$19,IF($C12="Domicilio propio",Instrucciones!$C$20,IF($C12="App de domicilio",Instrucciones!$C$21,0)))))</f>
        <v>0.06</v>
      </c>
      <c r="L12" s="8">
        <f t="shared" si="1"/>
        <v>5700</v>
      </c>
      <c r="M12" s="8">
        <f t="shared" si="2"/>
        <v>89300</v>
      </c>
      <c r="N12" s="8">
        <f>IFERROR($G12*INDEX(Menú!$E$5:$E$28,MATCH($E12,Menú!$A$5:$A$28,0)),"")</f>
        <v>31530.5</v>
      </c>
      <c r="O12" s="8">
        <f t="shared" si="3"/>
        <v>57769.5</v>
      </c>
      <c r="P12" s="9">
        <f t="shared" si="4"/>
        <v>0.64691489361702126</v>
      </c>
    </row>
    <row r="13" spans="1:16" x14ac:dyDescent="0.3">
      <c r="A13" s="128">
        <v>46204</v>
      </c>
      <c r="B13" s="117" t="s">
        <v>92</v>
      </c>
      <c r="C13" s="117" t="s">
        <v>82</v>
      </c>
      <c r="D13" s="117" t="s">
        <v>98</v>
      </c>
      <c r="E13" s="117" t="s">
        <v>247</v>
      </c>
      <c r="F13" s="7" t="str">
        <f>IFERROR(INDEX(Menú!$B$5:$B$28,MATCH($E13,Menú!$A$5:$A$28,0)),"")</f>
        <v>Patacón con queso</v>
      </c>
      <c r="G13" s="129">
        <v>5</v>
      </c>
      <c r="H13" s="8">
        <f>IFERROR(INDEX(Menú!$D$5:$D$28,MATCH($E13,Menú!$A$5:$A$28,0)),"")</f>
        <v>16000</v>
      </c>
      <c r="I13" s="130">
        <v>0</v>
      </c>
      <c r="J13" s="8">
        <f t="shared" si="0"/>
        <v>80000</v>
      </c>
      <c r="K13" s="9">
        <f>IF($C13="",0,IF($C13="Salón",Instrucciones!$C$18,IF($C13="Para llevar",Instrucciones!$C$19,IF($C13="Domicilio propio",Instrucciones!$C$20,IF($C13="App de domicilio",Instrucciones!$C$21,0)))))</f>
        <v>0</v>
      </c>
      <c r="L13" s="8">
        <f t="shared" si="1"/>
        <v>0</v>
      </c>
      <c r="M13" s="8">
        <f t="shared" si="2"/>
        <v>80000</v>
      </c>
      <c r="N13" s="8">
        <f>IFERROR($G13*INDEX(Menú!$E$5:$E$28,MATCH($E13,Menú!$A$5:$A$28,0)),"")</f>
        <v>23986.000000000004</v>
      </c>
      <c r="O13" s="8">
        <f t="shared" si="3"/>
        <v>56014</v>
      </c>
      <c r="P13" s="9">
        <f t="shared" si="4"/>
        <v>0.70017499999999999</v>
      </c>
    </row>
    <row r="14" spans="1:16" x14ac:dyDescent="0.3">
      <c r="A14" s="128">
        <v>46204</v>
      </c>
      <c r="B14" s="117" t="s">
        <v>93</v>
      </c>
      <c r="C14" s="117" t="s">
        <v>82</v>
      </c>
      <c r="D14" s="117" t="s">
        <v>98</v>
      </c>
      <c r="E14" s="117" t="s">
        <v>233</v>
      </c>
      <c r="F14" s="7" t="str">
        <f>IFERROR(INDEX(Menú!$B$5:$B$28,MATCH($E14,Menú!$A$5:$A$28,0)),"")</f>
        <v>Lomo al pimienta</v>
      </c>
      <c r="G14" s="129">
        <v>1</v>
      </c>
      <c r="H14" s="8">
        <f>IFERROR(INDEX(Menú!$D$5:$D$28,MATCH($E14,Menú!$A$5:$A$28,0)),"")</f>
        <v>48000</v>
      </c>
      <c r="I14" s="130">
        <v>0</v>
      </c>
      <c r="J14" s="8">
        <f t="shared" si="0"/>
        <v>48000</v>
      </c>
      <c r="K14" s="9">
        <f>IF($C14="",0,IF($C14="Salón",Instrucciones!$C$18,IF($C14="Para llevar",Instrucciones!$C$19,IF($C14="Domicilio propio",Instrucciones!$C$20,IF($C14="App de domicilio",Instrucciones!$C$21,0)))))</f>
        <v>0</v>
      </c>
      <c r="L14" s="8">
        <f t="shared" si="1"/>
        <v>0</v>
      </c>
      <c r="M14" s="8">
        <f t="shared" si="2"/>
        <v>48000</v>
      </c>
      <c r="N14" s="8">
        <f>IFERROR($G14*INDEX(Menú!$E$5:$E$28,MATCH($E14,Menú!$A$5:$A$28,0)),"")</f>
        <v>15995.199999999999</v>
      </c>
      <c r="O14" s="8">
        <f t="shared" si="3"/>
        <v>32004.800000000003</v>
      </c>
      <c r="P14" s="9">
        <f t="shared" si="4"/>
        <v>0.66676666666666673</v>
      </c>
    </row>
    <row r="15" spans="1:16" x14ac:dyDescent="0.3">
      <c r="A15" s="128">
        <v>46204</v>
      </c>
      <c r="B15" s="117" t="s">
        <v>93</v>
      </c>
      <c r="C15" s="117" t="s">
        <v>85</v>
      </c>
      <c r="D15" s="117" t="s">
        <v>99</v>
      </c>
      <c r="E15" s="117" t="s">
        <v>238</v>
      </c>
      <c r="F15" s="7" t="str">
        <f>IFERROR(INDEX(Menú!$B$5:$B$28,MATCH($E15,Menú!$A$5:$A$28,0)),"")</f>
        <v>Hamburguesa clásica</v>
      </c>
      <c r="G15" s="129">
        <v>7</v>
      </c>
      <c r="H15" s="8">
        <f>IFERROR(INDEX(Menú!$D$5:$D$28,MATCH($E15,Menú!$A$5:$A$28,0)),"")</f>
        <v>28000</v>
      </c>
      <c r="I15" s="130">
        <v>0</v>
      </c>
      <c r="J15" s="8">
        <f t="shared" si="0"/>
        <v>196000</v>
      </c>
      <c r="K15" s="9">
        <f>IF($C15="",0,IF($C15="Salón",Instrucciones!$C$18,IF($C15="Para llevar",Instrucciones!$C$19,IF($C15="Domicilio propio",Instrucciones!$C$20,IF($C15="App de domicilio",Instrucciones!$C$21,0)))))</f>
        <v>0.22</v>
      </c>
      <c r="L15" s="8">
        <f t="shared" si="1"/>
        <v>43120</v>
      </c>
      <c r="M15" s="8">
        <f t="shared" si="2"/>
        <v>152880</v>
      </c>
      <c r="N15" s="8">
        <f>IFERROR($G15*INDEX(Menú!$E$5:$E$28,MATCH($E15,Menú!$A$5:$A$28,0)),"")</f>
        <v>67611.600000000006</v>
      </c>
      <c r="O15" s="8">
        <f t="shared" si="3"/>
        <v>85268.4</v>
      </c>
      <c r="P15" s="9">
        <f t="shared" si="4"/>
        <v>0.55774725274725268</v>
      </c>
    </row>
    <row r="16" spans="1:16" x14ac:dyDescent="0.3">
      <c r="A16" s="128">
        <v>46204</v>
      </c>
      <c r="B16" s="117" t="s">
        <v>93</v>
      </c>
      <c r="C16" s="117" t="s">
        <v>83</v>
      </c>
      <c r="D16" s="117" t="s">
        <v>100</v>
      </c>
      <c r="E16" s="117" t="s">
        <v>240</v>
      </c>
      <c r="F16" s="7" t="str">
        <f>IFERROR(INDEX(Menú!$B$5:$B$28,MATCH($E16,Menú!$A$5:$A$28,0)),"")</f>
        <v>Tacos de pollo (3)</v>
      </c>
      <c r="G16" s="129">
        <v>4</v>
      </c>
      <c r="H16" s="8">
        <f>IFERROR(INDEX(Menú!$D$5:$D$28,MATCH($E16,Menú!$A$5:$A$28,0)),"")</f>
        <v>26000</v>
      </c>
      <c r="I16" s="130">
        <v>0.15</v>
      </c>
      <c r="J16" s="8">
        <f t="shared" si="0"/>
        <v>88400</v>
      </c>
      <c r="K16" s="9">
        <f>IF($C16="",0,IF($C16="Salón",Instrucciones!$C$18,IF($C16="Para llevar",Instrucciones!$C$19,IF($C16="Domicilio propio",Instrucciones!$C$20,IF($C16="App de domicilio",Instrucciones!$C$21,0)))))</f>
        <v>0</v>
      </c>
      <c r="L16" s="8">
        <f t="shared" si="1"/>
        <v>0</v>
      </c>
      <c r="M16" s="8">
        <f t="shared" si="2"/>
        <v>88400</v>
      </c>
      <c r="N16" s="8">
        <f>IFERROR($G16*INDEX(Menú!$E$5:$E$28,MATCH($E16,Menú!$A$5:$A$28,0)),"")</f>
        <v>34117.600000000006</v>
      </c>
      <c r="O16" s="8">
        <f t="shared" si="3"/>
        <v>54282.399999999994</v>
      </c>
      <c r="P16" s="9">
        <f t="shared" si="4"/>
        <v>0.61405429864253391</v>
      </c>
    </row>
    <row r="17" spans="1:16" x14ac:dyDescent="0.3">
      <c r="A17" s="128">
        <v>46204</v>
      </c>
      <c r="B17" s="117" t="s">
        <v>93</v>
      </c>
      <c r="C17" s="117" t="s">
        <v>82</v>
      </c>
      <c r="D17" s="117" t="s">
        <v>100</v>
      </c>
      <c r="E17" s="117" t="s">
        <v>253</v>
      </c>
      <c r="F17" s="7" t="str">
        <f>IFERROR(INDEX(Menú!$B$5:$B$28,MATCH($E17,Menú!$A$5:$A$28,0)),"")</f>
        <v>Café americano</v>
      </c>
      <c r="G17" s="129">
        <v>2</v>
      </c>
      <c r="H17" s="8">
        <f>IFERROR(INDEX(Menú!$D$5:$D$28,MATCH($E17,Menú!$A$5:$A$28,0)),"")</f>
        <v>4500</v>
      </c>
      <c r="I17" s="130">
        <v>0</v>
      </c>
      <c r="J17" s="8">
        <f t="shared" si="0"/>
        <v>9000</v>
      </c>
      <c r="K17" s="9">
        <f>IF($C17="",0,IF($C17="Salón",Instrucciones!$C$18,IF($C17="Para llevar",Instrucciones!$C$19,IF($C17="Domicilio propio",Instrucciones!$C$20,IF($C17="App de domicilio",Instrucciones!$C$21,0)))))</f>
        <v>0</v>
      </c>
      <c r="L17" s="8">
        <f t="shared" si="1"/>
        <v>0</v>
      </c>
      <c r="M17" s="8">
        <f t="shared" si="2"/>
        <v>9000</v>
      </c>
      <c r="N17" s="8">
        <f>IFERROR($G17*INDEX(Menú!$E$5:$E$28,MATCH($E17,Menú!$A$5:$A$28,0)),"")</f>
        <v>1551.2</v>
      </c>
      <c r="O17" s="8">
        <f t="shared" si="3"/>
        <v>7448.8</v>
      </c>
      <c r="P17" s="9">
        <f t="shared" si="4"/>
        <v>0.82764444444444452</v>
      </c>
    </row>
    <row r="18" spans="1:16" x14ac:dyDescent="0.3">
      <c r="A18" s="128">
        <v>46205</v>
      </c>
      <c r="B18" s="117" t="s">
        <v>91</v>
      </c>
      <c r="C18" s="117" t="s">
        <v>83</v>
      </c>
      <c r="D18" s="117" t="s">
        <v>100</v>
      </c>
      <c r="E18" s="117" t="s">
        <v>238</v>
      </c>
      <c r="F18" s="7" t="str">
        <f>IFERROR(INDEX(Menú!$B$5:$B$28,MATCH($E18,Menú!$A$5:$A$28,0)),"")</f>
        <v>Hamburguesa clásica</v>
      </c>
      <c r="G18" s="129">
        <v>8</v>
      </c>
      <c r="H18" s="8">
        <f>IFERROR(INDEX(Menú!$D$5:$D$28,MATCH($E18,Menú!$A$5:$A$28,0)),"")</f>
        <v>28000</v>
      </c>
      <c r="I18" s="130">
        <v>0</v>
      </c>
      <c r="J18" s="8">
        <f t="shared" si="0"/>
        <v>224000</v>
      </c>
      <c r="K18" s="9">
        <f>IF($C18="",0,IF($C18="Salón",Instrucciones!$C$18,IF($C18="Para llevar",Instrucciones!$C$19,IF($C18="Domicilio propio",Instrucciones!$C$20,IF($C18="App de domicilio",Instrucciones!$C$21,0)))))</f>
        <v>0</v>
      </c>
      <c r="L18" s="8">
        <f t="shared" si="1"/>
        <v>0</v>
      </c>
      <c r="M18" s="8">
        <f t="shared" si="2"/>
        <v>224000</v>
      </c>
      <c r="N18" s="8">
        <f>IFERROR($G18*INDEX(Menú!$E$5:$E$28,MATCH($E18,Menú!$A$5:$A$28,0)),"")</f>
        <v>77270.400000000009</v>
      </c>
      <c r="O18" s="8">
        <f t="shared" si="3"/>
        <v>146729.59999999998</v>
      </c>
      <c r="P18" s="9">
        <f t="shared" si="4"/>
        <v>0.65504285714285704</v>
      </c>
    </row>
    <row r="19" spans="1:16" x14ac:dyDescent="0.3">
      <c r="A19" s="128">
        <v>46205</v>
      </c>
      <c r="B19" s="117" t="s">
        <v>91</v>
      </c>
      <c r="C19" s="117" t="s">
        <v>82</v>
      </c>
      <c r="D19" s="117" t="s">
        <v>98</v>
      </c>
      <c r="E19" s="117" t="s">
        <v>239</v>
      </c>
      <c r="F19" s="7" t="str">
        <f>IFERROR(INDEX(Menú!$B$5:$B$28,MATCH($E19,Menú!$A$5:$A$28,0)),"")</f>
        <v>Hamburguesa doble</v>
      </c>
      <c r="G19" s="129">
        <v>1</v>
      </c>
      <c r="H19" s="8">
        <f>IFERROR(INDEX(Menú!$D$5:$D$28,MATCH($E19,Menú!$A$5:$A$28,0)),"")</f>
        <v>36000</v>
      </c>
      <c r="I19" s="130">
        <v>0</v>
      </c>
      <c r="J19" s="8">
        <f t="shared" si="0"/>
        <v>36000</v>
      </c>
      <c r="K19" s="9">
        <f>IF($C19="",0,IF($C19="Salón",Instrucciones!$C$18,IF($C19="Para llevar",Instrucciones!$C$19,IF($C19="Domicilio propio",Instrucciones!$C$20,IF($C19="App de domicilio",Instrucciones!$C$21,0)))))</f>
        <v>0</v>
      </c>
      <c r="L19" s="8">
        <f t="shared" si="1"/>
        <v>0</v>
      </c>
      <c r="M19" s="8">
        <f t="shared" si="2"/>
        <v>36000</v>
      </c>
      <c r="N19" s="8">
        <f>IFERROR($G19*INDEX(Menú!$E$5:$E$28,MATCH($E19,Menú!$A$5:$A$28,0)),"")</f>
        <v>11035.2</v>
      </c>
      <c r="O19" s="8">
        <f t="shared" si="3"/>
        <v>24964.799999999999</v>
      </c>
      <c r="P19" s="9">
        <f t="shared" si="4"/>
        <v>0.69346666666666668</v>
      </c>
    </row>
    <row r="20" spans="1:16" x14ac:dyDescent="0.3">
      <c r="A20" s="128">
        <v>46205</v>
      </c>
      <c r="B20" s="117" t="s">
        <v>91</v>
      </c>
      <c r="C20" s="117" t="s">
        <v>83</v>
      </c>
      <c r="D20" s="117" t="s">
        <v>100</v>
      </c>
      <c r="E20" s="117" t="s">
        <v>247</v>
      </c>
      <c r="F20" s="7" t="str">
        <f>IFERROR(INDEX(Menú!$B$5:$B$28,MATCH($E20,Menú!$A$5:$A$28,0)),"")</f>
        <v>Patacón con queso</v>
      </c>
      <c r="G20" s="129">
        <v>1</v>
      </c>
      <c r="H20" s="8">
        <f>IFERROR(INDEX(Menú!$D$5:$D$28,MATCH($E20,Menú!$A$5:$A$28,0)),"")</f>
        <v>16000</v>
      </c>
      <c r="I20" s="130">
        <v>0</v>
      </c>
      <c r="J20" s="8">
        <f t="shared" si="0"/>
        <v>16000</v>
      </c>
      <c r="K20" s="9">
        <f>IF($C20="",0,IF($C20="Salón",Instrucciones!$C$18,IF($C20="Para llevar",Instrucciones!$C$19,IF($C20="Domicilio propio",Instrucciones!$C$20,IF($C20="App de domicilio",Instrucciones!$C$21,0)))))</f>
        <v>0</v>
      </c>
      <c r="L20" s="8">
        <f t="shared" si="1"/>
        <v>0</v>
      </c>
      <c r="M20" s="8">
        <f t="shared" si="2"/>
        <v>16000</v>
      </c>
      <c r="N20" s="8">
        <f>IFERROR($G20*INDEX(Menú!$E$5:$E$28,MATCH($E20,Menú!$A$5:$A$28,0)),"")</f>
        <v>4797.2000000000007</v>
      </c>
      <c r="O20" s="8">
        <f t="shared" si="3"/>
        <v>11202.8</v>
      </c>
      <c r="P20" s="9">
        <f t="shared" si="4"/>
        <v>0.70017499999999999</v>
      </c>
    </row>
    <row r="21" spans="1:16" x14ac:dyDescent="0.3">
      <c r="A21" s="128">
        <v>46205</v>
      </c>
      <c r="B21" s="117" t="s">
        <v>91</v>
      </c>
      <c r="C21" s="117" t="s">
        <v>84</v>
      </c>
      <c r="D21" s="117" t="s">
        <v>100</v>
      </c>
      <c r="E21" s="117" t="s">
        <v>250</v>
      </c>
      <c r="F21" s="7" t="str">
        <f>IFERROR(INDEX(Menú!$B$5:$B$28,MATCH($E21,Menú!$A$5:$A$28,0)),"")</f>
        <v>Gaseosa personal</v>
      </c>
      <c r="G21" s="129">
        <v>4</v>
      </c>
      <c r="H21" s="8">
        <f>IFERROR(INDEX(Menú!$D$5:$D$28,MATCH($E21,Menú!$A$5:$A$28,0)),"")</f>
        <v>5000</v>
      </c>
      <c r="I21" s="130">
        <v>0</v>
      </c>
      <c r="J21" s="8">
        <f t="shared" si="0"/>
        <v>20000</v>
      </c>
      <c r="K21" s="9">
        <f>IF($C21="",0,IF($C21="Salón",Instrucciones!$C$18,IF($C21="Para llevar",Instrucciones!$C$19,IF($C21="Domicilio propio",Instrucciones!$C$20,IF($C21="App de domicilio",Instrucciones!$C$21,0)))))</f>
        <v>0.06</v>
      </c>
      <c r="L21" s="8">
        <f t="shared" si="1"/>
        <v>1200</v>
      </c>
      <c r="M21" s="8">
        <f t="shared" si="2"/>
        <v>18800</v>
      </c>
      <c r="N21" s="8">
        <f>IFERROR($G21*INDEX(Menú!$E$5:$E$28,MATCH($E21,Menú!$A$5:$A$28,0)),"")</f>
        <v>4453.5999999999995</v>
      </c>
      <c r="O21" s="8">
        <f t="shared" si="3"/>
        <v>14346.400000000001</v>
      </c>
      <c r="P21" s="9">
        <f t="shared" si="4"/>
        <v>0.76310638297872346</v>
      </c>
    </row>
    <row r="22" spans="1:16" x14ac:dyDescent="0.3">
      <c r="A22" s="128">
        <v>46205</v>
      </c>
      <c r="B22" s="117" t="s">
        <v>91</v>
      </c>
      <c r="C22" s="117" t="s">
        <v>82</v>
      </c>
      <c r="D22" s="117" t="s">
        <v>97</v>
      </c>
      <c r="E22" s="117" t="s">
        <v>251</v>
      </c>
      <c r="F22" s="7" t="str">
        <f>IFERROR(INDEX(Menú!$B$5:$B$28,MATCH($E22,Menú!$A$5:$A$28,0)),"")</f>
        <v>Jugo natural en agua</v>
      </c>
      <c r="G22" s="129">
        <v>6</v>
      </c>
      <c r="H22" s="8">
        <f>IFERROR(INDEX(Menú!$D$5:$D$28,MATCH($E22,Menú!$A$5:$A$28,0)),"")</f>
        <v>8000</v>
      </c>
      <c r="I22" s="130">
        <v>0.15</v>
      </c>
      <c r="J22" s="8">
        <f t="shared" si="0"/>
        <v>40800</v>
      </c>
      <c r="K22" s="9">
        <f>IF($C22="",0,IF($C22="Salón",Instrucciones!$C$18,IF($C22="Para llevar",Instrucciones!$C$19,IF($C22="Domicilio propio",Instrucciones!$C$20,IF($C22="App de domicilio",Instrucciones!$C$21,0)))))</f>
        <v>0</v>
      </c>
      <c r="L22" s="8">
        <f t="shared" si="1"/>
        <v>0</v>
      </c>
      <c r="M22" s="8">
        <f t="shared" si="2"/>
        <v>40800</v>
      </c>
      <c r="N22" s="8">
        <f>IFERROR($G22*INDEX(Menú!$E$5:$E$28,MATCH($E22,Menú!$A$5:$A$28,0)),"")</f>
        <v>8718.0000000000018</v>
      </c>
      <c r="O22" s="8">
        <f t="shared" si="3"/>
        <v>32082</v>
      </c>
      <c r="P22" s="9">
        <f t="shared" si="4"/>
        <v>0.78632352941176475</v>
      </c>
    </row>
    <row r="23" spans="1:16" x14ac:dyDescent="0.3">
      <c r="A23" s="128">
        <v>46205</v>
      </c>
      <c r="B23" s="117" t="s">
        <v>92</v>
      </c>
      <c r="C23" s="117" t="s">
        <v>84</v>
      </c>
      <c r="D23" s="117" t="s">
        <v>100</v>
      </c>
      <c r="E23" s="117" t="s">
        <v>238</v>
      </c>
      <c r="F23" s="7" t="str">
        <f>IFERROR(INDEX(Menú!$B$5:$B$28,MATCH($E23,Menú!$A$5:$A$28,0)),"")</f>
        <v>Hamburguesa clásica</v>
      </c>
      <c r="G23" s="129">
        <v>6</v>
      </c>
      <c r="H23" s="8">
        <f>IFERROR(INDEX(Menú!$D$5:$D$28,MATCH($E23,Menú!$A$5:$A$28,0)),"")</f>
        <v>28000</v>
      </c>
      <c r="I23" s="130">
        <v>0</v>
      </c>
      <c r="J23" s="8">
        <f t="shared" si="0"/>
        <v>168000</v>
      </c>
      <c r="K23" s="9">
        <f>IF($C23="",0,IF($C23="Salón",Instrucciones!$C$18,IF($C23="Para llevar",Instrucciones!$C$19,IF($C23="Domicilio propio",Instrucciones!$C$20,IF($C23="App de domicilio",Instrucciones!$C$21,0)))))</f>
        <v>0.06</v>
      </c>
      <c r="L23" s="8">
        <f t="shared" si="1"/>
        <v>10080</v>
      </c>
      <c r="M23" s="8">
        <f t="shared" si="2"/>
        <v>157920</v>
      </c>
      <c r="N23" s="8">
        <f>IFERROR($G23*INDEX(Menú!$E$5:$E$28,MATCH($E23,Menú!$A$5:$A$28,0)),"")</f>
        <v>57952.800000000003</v>
      </c>
      <c r="O23" s="8">
        <f t="shared" si="3"/>
        <v>99967.2</v>
      </c>
      <c r="P23" s="9">
        <f t="shared" si="4"/>
        <v>0.63302431610942245</v>
      </c>
    </row>
    <row r="24" spans="1:16" x14ac:dyDescent="0.3">
      <c r="A24" s="128">
        <v>46205</v>
      </c>
      <c r="B24" s="117" t="s">
        <v>92</v>
      </c>
      <c r="C24" s="117" t="s">
        <v>83</v>
      </c>
      <c r="D24" s="117" t="s">
        <v>98</v>
      </c>
      <c r="E24" s="117" t="s">
        <v>241</v>
      </c>
      <c r="F24" s="7" t="str">
        <f>IFERROR(INDEX(Menú!$B$5:$B$28,MATCH($E24,Menú!$A$5:$A$28,0)),"")</f>
        <v>Perro caliente especial</v>
      </c>
      <c r="G24" s="129">
        <v>1</v>
      </c>
      <c r="H24" s="8">
        <f>IFERROR(INDEX(Menú!$D$5:$D$28,MATCH($E24,Menú!$A$5:$A$28,0)),"")</f>
        <v>19000</v>
      </c>
      <c r="I24" s="130">
        <v>0</v>
      </c>
      <c r="J24" s="8">
        <f t="shared" si="0"/>
        <v>19000</v>
      </c>
      <c r="K24" s="9">
        <f>IF($C24="",0,IF($C24="Salón",Instrucciones!$C$18,IF($C24="Para llevar",Instrucciones!$C$19,IF($C24="Domicilio propio",Instrucciones!$C$20,IF($C24="App de domicilio",Instrucciones!$C$21,0)))))</f>
        <v>0</v>
      </c>
      <c r="L24" s="8">
        <f t="shared" si="1"/>
        <v>0</v>
      </c>
      <c r="M24" s="8">
        <f t="shared" si="2"/>
        <v>19000</v>
      </c>
      <c r="N24" s="8">
        <f>IFERROR($G24*INDEX(Menú!$E$5:$E$28,MATCH($E24,Menú!$A$5:$A$28,0)),"")</f>
        <v>6306.1</v>
      </c>
      <c r="O24" s="8">
        <f t="shared" si="3"/>
        <v>12693.9</v>
      </c>
      <c r="P24" s="9">
        <f t="shared" si="4"/>
        <v>0.66810000000000003</v>
      </c>
    </row>
    <row r="25" spans="1:16" x14ac:dyDescent="0.3">
      <c r="A25" s="128">
        <v>46205</v>
      </c>
      <c r="B25" s="117" t="s">
        <v>92</v>
      </c>
      <c r="C25" s="117" t="s">
        <v>82</v>
      </c>
      <c r="D25" s="117" t="s">
        <v>98</v>
      </c>
      <c r="E25" s="117" t="s">
        <v>250</v>
      </c>
      <c r="F25" s="7" t="str">
        <f>IFERROR(INDEX(Menú!$B$5:$B$28,MATCH($E25,Menú!$A$5:$A$28,0)),"")</f>
        <v>Gaseosa personal</v>
      </c>
      <c r="G25" s="129">
        <v>4</v>
      </c>
      <c r="H25" s="8">
        <f>IFERROR(INDEX(Menú!$D$5:$D$28,MATCH($E25,Menú!$A$5:$A$28,0)),"")</f>
        <v>5000</v>
      </c>
      <c r="I25" s="130">
        <v>0</v>
      </c>
      <c r="J25" s="8">
        <f t="shared" si="0"/>
        <v>20000</v>
      </c>
      <c r="K25" s="9">
        <f>IF($C25="",0,IF($C25="Salón",Instrucciones!$C$18,IF($C25="Para llevar",Instrucciones!$C$19,IF($C25="Domicilio propio",Instrucciones!$C$20,IF($C25="App de domicilio",Instrucciones!$C$21,0)))))</f>
        <v>0</v>
      </c>
      <c r="L25" s="8">
        <f t="shared" si="1"/>
        <v>0</v>
      </c>
      <c r="M25" s="8">
        <f t="shared" si="2"/>
        <v>20000</v>
      </c>
      <c r="N25" s="8">
        <f>IFERROR($G25*INDEX(Menú!$E$5:$E$28,MATCH($E25,Menú!$A$5:$A$28,0)),"")</f>
        <v>4453.5999999999995</v>
      </c>
      <c r="O25" s="8">
        <f t="shared" si="3"/>
        <v>15546.400000000001</v>
      </c>
      <c r="P25" s="9">
        <f t="shared" si="4"/>
        <v>0.77732000000000012</v>
      </c>
    </row>
    <row r="26" spans="1:16" x14ac:dyDescent="0.3">
      <c r="A26" s="128">
        <v>46205</v>
      </c>
      <c r="B26" s="117" t="s">
        <v>93</v>
      </c>
      <c r="C26" s="117" t="s">
        <v>82</v>
      </c>
      <c r="D26" s="117" t="s">
        <v>100</v>
      </c>
      <c r="E26" s="117" t="s">
        <v>233</v>
      </c>
      <c r="F26" s="7" t="str">
        <f>IFERROR(INDEX(Menú!$B$5:$B$28,MATCH($E26,Menú!$A$5:$A$28,0)),"")</f>
        <v>Lomo al pimienta</v>
      </c>
      <c r="G26" s="129">
        <v>1</v>
      </c>
      <c r="H26" s="8">
        <f>IFERROR(INDEX(Menú!$D$5:$D$28,MATCH($E26,Menú!$A$5:$A$28,0)),"")</f>
        <v>48000</v>
      </c>
      <c r="I26" s="130">
        <v>0</v>
      </c>
      <c r="J26" s="8">
        <f t="shared" si="0"/>
        <v>48000</v>
      </c>
      <c r="K26" s="9">
        <f>IF($C26="",0,IF($C26="Salón",Instrucciones!$C$18,IF($C26="Para llevar",Instrucciones!$C$19,IF($C26="Domicilio propio",Instrucciones!$C$20,IF($C26="App de domicilio",Instrucciones!$C$21,0)))))</f>
        <v>0</v>
      </c>
      <c r="L26" s="8">
        <f t="shared" si="1"/>
        <v>0</v>
      </c>
      <c r="M26" s="8">
        <f t="shared" si="2"/>
        <v>48000</v>
      </c>
      <c r="N26" s="8">
        <f>IFERROR($G26*INDEX(Menú!$E$5:$E$28,MATCH($E26,Menú!$A$5:$A$28,0)),"")</f>
        <v>15995.199999999999</v>
      </c>
      <c r="O26" s="8">
        <f t="shared" si="3"/>
        <v>32004.800000000003</v>
      </c>
      <c r="P26" s="9">
        <f t="shared" si="4"/>
        <v>0.66676666666666673</v>
      </c>
    </row>
    <row r="27" spans="1:16" x14ac:dyDescent="0.3">
      <c r="A27" s="128">
        <v>46205</v>
      </c>
      <c r="B27" s="117" t="s">
        <v>93</v>
      </c>
      <c r="C27" s="117" t="s">
        <v>82</v>
      </c>
      <c r="D27" s="117" t="s">
        <v>98</v>
      </c>
      <c r="E27" s="117" t="s">
        <v>249</v>
      </c>
      <c r="F27" s="7" t="str">
        <f>IFERROR(INDEX(Menú!$B$5:$B$28,MATCH($E27,Menú!$A$5:$A$28,0)),"")</f>
        <v>Arepa de huevo</v>
      </c>
      <c r="G27" s="129">
        <v>3</v>
      </c>
      <c r="H27" s="8">
        <f>IFERROR(INDEX(Menú!$D$5:$D$28,MATCH($E27,Menú!$A$5:$A$28,0)),"")</f>
        <v>9000</v>
      </c>
      <c r="I27" s="130">
        <v>0</v>
      </c>
      <c r="J27" s="8">
        <f t="shared" si="0"/>
        <v>27000</v>
      </c>
      <c r="K27" s="9">
        <f>IF($C27="",0,IF($C27="Salón",Instrucciones!$C$18,IF($C27="Para llevar",Instrucciones!$C$19,IF($C27="Domicilio propio",Instrucciones!$C$20,IF($C27="App de domicilio",Instrucciones!$C$21,0)))))</f>
        <v>0</v>
      </c>
      <c r="L27" s="8">
        <f t="shared" si="1"/>
        <v>0</v>
      </c>
      <c r="M27" s="8">
        <f t="shared" si="2"/>
        <v>27000</v>
      </c>
      <c r="N27" s="8">
        <f>IFERROR($G27*INDEX(Menú!$E$5:$E$28,MATCH($E27,Menú!$A$5:$A$28,0)),"")</f>
        <v>6654.2999999999993</v>
      </c>
      <c r="O27" s="8">
        <f t="shared" si="3"/>
        <v>20345.7</v>
      </c>
      <c r="P27" s="9">
        <f t="shared" si="4"/>
        <v>0.75354444444444446</v>
      </c>
    </row>
    <row r="28" spans="1:16" x14ac:dyDescent="0.3">
      <c r="A28" s="128">
        <v>46206</v>
      </c>
      <c r="B28" s="117" t="s">
        <v>91</v>
      </c>
      <c r="C28" s="117" t="s">
        <v>82</v>
      </c>
      <c r="D28" s="117" t="s">
        <v>98</v>
      </c>
      <c r="E28" s="117" t="s">
        <v>232</v>
      </c>
      <c r="F28" s="7" t="str">
        <f>IFERROR(INDEX(Menú!$B$5:$B$28,MATCH($E28,Menú!$A$5:$A$28,0)),"")</f>
        <v>Pollo a la plancha</v>
      </c>
      <c r="G28" s="129">
        <v>11</v>
      </c>
      <c r="H28" s="8">
        <f>IFERROR(INDEX(Menú!$D$5:$D$28,MATCH($E28,Menú!$A$5:$A$28,0)),"")</f>
        <v>32000</v>
      </c>
      <c r="I28" s="130">
        <v>0</v>
      </c>
      <c r="J28" s="8">
        <f t="shared" si="0"/>
        <v>352000</v>
      </c>
      <c r="K28" s="9">
        <f>IF($C28="",0,IF($C28="Salón",Instrucciones!$C$18,IF($C28="Para llevar",Instrucciones!$C$19,IF($C28="Domicilio propio",Instrucciones!$C$20,IF($C28="App de domicilio",Instrucciones!$C$21,0)))))</f>
        <v>0</v>
      </c>
      <c r="L28" s="8">
        <f t="shared" si="1"/>
        <v>0</v>
      </c>
      <c r="M28" s="8">
        <f t="shared" si="2"/>
        <v>352000</v>
      </c>
      <c r="N28" s="8">
        <f>IFERROR($G28*INDEX(Menú!$E$5:$E$28,MATCH($E28,Menú!$A$5:$A$28,0)),"")</f>
        <v>107803.30000000002</v>
      </c>
      <c r="O28" s="8">
        <f t="shared" si="3"/>
        <v>244196.69999999998</v>
      </c>
      <c r="P28" s="9">
        <f t="shared" si="4"/>
        <v>0.693740625</v>
      </c>
    </row>
    <row r="29" spans="1:16" x14ac:dyDescent="0.3">
      <c r="A29" s="128">
        <v>46206</v>
      </c>
      <c r="B29" s="117" t="s">
        <v>91</v>
      </c>
      <c r="C29" s="117" t="s">
        <v>82</v>
      </c>
      <c r="D29" s="117" t="s">
        <v>97</v>
      </c>
      <c r="E29" s="117" t="s">
        <v>234</v>
      </c>
      <c r="F29" s="7" t="str">
        <f>IFERROR(INDEX(Menú!$B$5:$B$28,MATCH($E29,Menú!$A$5:$A$28,0)),"")</f>
        <v>Cerdo BBQ</v>
      </c>
      <c r="G29" s="129">
        <v>3</v>
      </c>
      <c r="H29" s="8">
        <f>IFERROR(INDEX(Menú!$D$5:$D$28,MATCH($E29,Menú!$A$5:$A$28,0)),"")</f>
        <v>38000</v>
      </c>
      <c r="I29" s="130">
        <v>0</v>
      </c>
      <c r="J29" s="8">
        <f t="shared" si="0"/>
        <v>114000</v>
      </c>
      <c r="K29" s="9">
        <f>IF($C29="",0,IF($C29="Salón",Instrucciones!$C$18,IF($C29="Para llevar",Instrucciones!$C$19,IF($C29="Domicilio propio",Instrucciones!$C$20,IF($C29="App de domicilio",Instrucciones!$C$21,0)))))</f>
        <v>0</v>
      </c>
      <c r="L29" s="8">
        <f t="shared" si="1"/>
        <v>0</v>
      </c>
      <c r="M29" s="8">
        <f t="shared" si="2"/>
        <v>114000</v>
      </c>
      <c r="N29" s="8">
        <f>IFERROR($G29*INDEX(Menú!$E$5:$E$28,MATCH($E29,Menú!$A$5:$A$28,0)),"")</f>
        <v>40104</v>
      </c>
      <c r="O29" s="8">
        <f t="shared" si="3"/>
        <v>73896</v>
      </c>
      <c r="P29" s="9">
        <f t="shared" si="4"/>
        <v>0.64821052631578946</v>
      </c>
    </row>
    <row r="30" spans="1:16" x14ac:dyDescent="0.3">
      <c r="A30" s="128">
        <v>46206</v>
      </c>
      <c r="B30" s="117" t="s">
        <v>91</v>
      </c>
      <c r="C30" s="117" t="s">
        <v>85</v>
      </c>
      <c r="D30" s="117" t="s">
        <v>98</v>
      </c>
      <c r="E30" s="117" t="s">
        <v>238</v>
      </c>
      <c r="F30" s="7" t="str">
        <f>IFERROR(INDEX(Menú!$B$5:$B$28,MATCH($E30,Menú!$A$5:$A$28,0)),"")</f>
        <v>Hamburguesa clásica</v>
      </c>
      <c r="G30" s="129">
        <v>14</v>
      </c>
      <c r="H30" s="8">
        <f>IFERROR(INDEX(Menú!$D$5:$D$28,MATCH($E30,Menú!$A$5:$A$28,0)),"")</f>
        <v>28000</v>
      </c>
      <c r="I30" s="130">
        <v>0.1</v>
      </c>
      <c r="J30" s="8">
        <f t="shared" si="0"/>
        <v>352800</v>
      </c>
      <c r="K30" s="9">
        <f>IF($C30="",0,IF($C30="Salón",Instrucciones!$C$18,IF($C30="Para llevar",Instrucciones!$C$19,IF($C30="Domicilio propio",Instrucciones!$C$20,IF($C30="App de domicilio",Instrucciones!$C$21,0)))))</f>
        <v>0.22</v>
      </c>
      <c r="L30" s="8">
        <f t="shared" si="1"/>
        <v>77616</v>
      </c>
      <c r="M30" s="8">
        <f t="shared" si="2"/>
        <v>275184</v>
      </c>
      <c r="N30" s="8">
        <f>IFERROR($G30*INDEX(Menú!$E$5:$E$28,MATCH($E30,Menú!$A$5:$A$28,0)),"")</f>
        <v>135223.20000000001</v>
      </c>
      <c r="O30" s="8">
        <f t="shared" si="3"/>
        <v>139960.79999999999</v>
      </c>
      <c r="P30" s="9">
        <f t="shared" si="4"/>
        <v>0.50860805860805858</v>
      </c>
    </row>
    <row r="31" spans="1:16" x14ac:dyDescent="0.3">
      <c r="A31" s="128">
        <v>46206</v>
      </c>
      <c r="B31" s="117" t="s">
        <v>91</v>
      </c>
      <c r="C31" s="117" t="s">
        <v>85</v>
      </c>
      <c r="D31" s="117" t="s">
        <v>97</v>
      </c>
      <c r="E31" s="117" t="s">
        <v>242</v>
      </c>
      <c r="F31" s="7" t="str">
        <f>IFERROR(INDEX(Menú!$B$5:$B$28,MATCH($E31,Menú!$A$5:$A$28,0)),"")</f>
        <v>Salchipapa</v>
      </c>
      <c r="G31" s="129">
        <v>10</v>
      </c>
      <c r="H31" s="8">
        <f>IFERROR(INDEX(Menú!$D$5:$D$28,MATCH($E31,Menú!$A$5:$A$28,0)),"")</f>
        <v>22000</v>
      </c>
      <c r="I31" s="130">
        <v>0</v>
      </c>
      <c r="J31" s="8">
        <f t="shared" si="0"/>
        <v>220000</v>
      </c>
      <c r="K31" s="9">
        <f>IF($C31="",0,IF($C31="Salón",Instrucciones!$C$18,IF($C31="Para llevar",Instrucciones!$C$19,IF($C31="Domicilio propio",Instrucciones!$C$20,IF($C31="App de domicilio",Instrucciones!$C$21,0)))))</f>
        <v>0.22</v>
      </c>
      <c r="L31" s="8">
        <f t="shared" si="1"/>
        <v>48400</v>
      </c>
      <c r="M31" s="8">
        <f t="shared" si="2"/>
        <v>171600</v>
      </c>
      <c r="N31" s="8">
        <f>IFERROR($G31*INDEX(Menú!$E$5:$E$28,MATCH($E31,Menú!$A$5:$A$28,0)),"")</f>
        <v>64367.999999999993</v>
      </c>
      <c r="O31" s="8">
        <f t="shared" si="3"/>
        <v>107232</v>
      </c>
      <c r="P31" s="9">
        <f t="shared" si="4"/>
        <v>0.62489510489510491</v>
      </c>
    </row>
    <row r="32" spans="1:16" x14ac:dyDescent="0.3">
      <c r="A32" s="128">
        <v>46206</v>
      </c>
      <c r="B32" s="117" t="s">
        <v>91</v>
      </c>
      <c r="C32" s="117" t="s">
        <v>85</v>
      </c>
      <c r="D32" s="117" t="s">
        <v>98</v>
      </c>
      <c r="E32" s="117" t="s">
        <v>243</v>
      </c>
      <c r="F32" s="7" t="str">
        <f>IFERROR(INDEX(Menú!$B$5:$B$28,MATCH($E32,Menú!$A$5:$A$28,0)),"")</f>
        <v>Pizza mozzarella personal</v>
      </c>
      <c r="G32" s="129">
        <v>9</v>
      </c>
      <c r="H32" s="8">
        <f>IFERROR(INDEX(Menú!$D$5:$D$28,MATCH($E32,Menú!$A$5:$A$28,0)),"")</f>
        <v>30000</v>
      </c>
      <c r="I32" s="130">
        <v>0</v>
      </c>
      <c r="J32" s="8">
        <f t="shared" si="0"/>
        <v>270000</v>
      </c>
      <c r="K32" s="9">
        <f>IF($C32="",0,IF($C32="Salón",Instrucciones!$C$18,IF($C32="Para llevar",Instrucciones!$C$19,IF($C32="Domicilio propio",Instrucciones!$C$20,IF($C32="App de domicilio",Instrucciones!$C$21,0)))))</f>
        <v>0.22</v>
      </c>
      <c r="L32" s="8">
        <f t="shared" si="1"/>
        <v>59400</v>
      </c>
      <c r="M32" s="8">
        <f t="shared" si="2"/>
        <v>210600</v>
      </c>
      <c r="N32" s="8">
        <f>IFERROR($G32*INDEX(Menú!$E$5:$E$28,MATCH($E32,Menú!$A$5:$A$28,0)),"")</f>
        <v>89946.900000000009</v>
      </c>
      <c r="O32" s="8">
        <f t="shared" si="3"/>
        <v>120653.09999999999</v>
      </c>
      <c r="P32" s="9">
        <f t="shared" si="4"/>
        <v>0.57290170940170937</v>
      </c>
    </row>
    <row r="33" spans="1:16" x14ac:dyDescent="0.3">
      <c r="A33" s="128">
        <v>46206</v>
      </c>
      <c r="B33" s="117" t="s">
        <v>91</v>
      </c>
      <c r="C33" s="117" t="s">
        <v>82</v>
      </c>
      <c r="D33" s="117" t="s">
        <v>98</v>
      </c>
      <c r="E33" s="117" t="s">
        <v>245</v>
      </c>
      <c r="F33" s="7" t="str">
        <f>IFERROR(INDEX(Menú!$B$5:$B$28,MATCH($E33,Menú!$A$5:$A$28,0)),"")</f>
        <v>Ensalada de la casa</v>
      </c>
      <c r="G33" s="129">
        <v>1</v>
      </c>
      <c r="H33" s="8">
        <f>IFERROR(INDEX(Menú!$D$5:$D$28,MATCH($E33,Menú!$A$5:$A$28,0)),"")</f>
        <v>19000</v>
      </c>
      <c r="I33" s="130">
        <v>0</v>
      </c>
      <c r="J33" s="8">
        <f t="shared" si="0"/>
        <v>19000</v>
      </c>
      <c r="K33" s="9">
        <f>IF($C33="",0,IF($C33="Salón",Instrucciones!$C$18,IF($C33="Para llevar",Instrucciones!$C$19,IF($C33="Domicilio propio",Instrucciones!$C$20,IF($C33="App de domicilio",Instrucciones!$C$21,0)))))</f>
        <v>0</v>
      </c>
      <c r="L33" s="8">
        <f t="shared" si="1"/>
        <v>0</v>
      </c>
      <c r="M33" s="8">
        <f t="shared" si="2"/>
        <v>19000</v>
      </c>
      <c r="N33" s="8">
        <f>IFERROR($G33*INDEX(Menú!$E$5:$E$28,MATCH($E33,Menú!$A$5:$A$28,0)),"")</f>
        <v>4606.6000000000004</v>
      </c>
      <c r="O33" s="8">
        <f t="shared" si="3"/>
        <v>14393.4</v>
      </c>
      <c r="P33" s="9">
        <f t="shared" si="4"/>
        <v>0.75754736842105264</v>
      </c>
    </row>
    <row r="34" spans="1:16" x14ac:dyDescent="0.3">
      <c r="A34" s="128">
        <v>46206</v>
      </c>
      <c r="B34" s="117" t="s">
        <v>91</v>
      </c>
      <c r="C34" s="117" t="s">
        <v>82</v>
      </c>
      <c r="D34" s="117" t="s">
        <v>98</v>
      </c>
      <c r="E34" s="117" t="s">
        <v>247</v>
      </c>
      <c r="F34" s="7" t="str">
        <f>IFERROR(INDEX(Menú!$B$5:$B$28,MATCH($E34,Menú!$A$5:$A$28,0)),"")</f>
        <v>Patacón con queso</v>
      </c>
      <c r="G34" s="129">
        <v>1</v>
      </c>
      <c r="H34" s="8">
        <f>IFERROR(INDEX(Menú!$D$5:$D$28,MATCH($E34,Menú!$A$5:$A$28,0)),"")</f>
        <v>16000</v>
      </c>
      <c r="I34" s="130">
        <v>0</v>
      </c>
      <c r="J34" s="8">
        <f t="shared" si="0"/>
        <v>16000</v>
      </c>
      <c r="K34" s="9">
        <f>IF($C34="",0,IF($C34="Salón",Instrucciones!$C$18,IF($C34="Para llevar",Instrucciones!$C$19,IF($C34="Domicilio propio",Instrucciones!$C$20,IF($C34="App de domicilio",Instrucciones!$C$21,0)))))</f>
        <v>0</v>
      </c>
      <c r="L34" s="8">
        <f t="shared" si="1"/>
        <v>0</v>
      </c>
      <c r="M34" s="8">
        <f t="shared" si="2"/>
        <v>16000</v>
      </c>
      <c r="N34" s="8">
        <f>IFERROR($G34*INDEX(Menú!$E$5:$E$28,MATCH($E34,Menú!$A$5:$A$28,0)),"")</f>
        <v>4797.2000000000007</v>
      </c>
      <c r="O34" s="8">
        <f t="shared" si="3"/>
        <v>11202.8</v>
      </c>
      <c r="P34" s="9">
        <f t="shared" si="4"/>
        <v>0.70017499999999999</v>
      </c>
    </row>
    <row r="35" spans="1:16" x14ac:dyDescent="0.3">
      <c r="A35" s="128">
        <v>46206</v>
      </c>
      <c r="B35" s="117" t="s">
        <v>91</v>
      </c>
      <c r="C35" s="117" t="s">
        <v>82</v>
      </c>
      <c r="D35" s="117" t="s">
        <v>97</v>
      </c>
      <c r="E35" s="117" t="s">
        <v>249</v>
      </c>
      <c r="F35" s="7" t="str">
        <f>IFERROR(INDEX(Menú!$B$5:$B$28,MATCH($E35,Menú!$A$5:$A$28,0)),"")</f>
        <v>Arepa de huevo</v>
      </c>
      <c r="G35" s="129">
        <v>7</v>
      </c>
      <c r="H35" s="8">
        <f>IFERROR(INDEX(Menú!$D$5:$D$28,MATCH($E35,Menú!$A$5:$A$28,0)),"")</f>
        <v>9000</v>
      </c>
      <c r="I35" s="130">
        <v>0</v>
      </c>
      <c r="J35" s="8">
        <f t="shared" si="0"/>
        <v>63000</v>
      </c>
      <c r="K35" s="9">
        <f>IF($C35="",0,IF($C35="Salón",Instrucciones!$C$18,IF($C35="Para llevar",Instrucciones!$C$19,IF($C35="Domicilio propio",Instrucciones!$C$20,IF($C35="App de domicilio",Instrucciones!$C$21,0)))))</f>
        <v>0</v>
      </c>
      <c r="L35" s="8">
        <f t="shared" si="1"/>
        <v>0</v>
      </c>
      <c r="M35" s="8">
        <f t="shared" si="2"/>
        <v>63000</v>
      </c>
      <c r="N35" s="8">
        <f>IFERROR($G35*INDEX(Menú!$E$5:$E$28,MATCH($E35,Menú!$A$5:$A$28,0)),"")</f>
        <v>15526.699999999999</v>
      </c>
      <c r="O35" s="8">
        <f t="shared" si="3"/>
        <v>47473.3</v>
      </c>
      <c r="P35" s="9">
        <f t="shared" si="4"/>
        <v>0.75354444444444446</v>
      </c>
    </row>
    <row r="36" spans="1:16" x14ac:dyDescent="0.3">
      <c r="A36" s="128">
        <v>46206</v>
      </c>
      <c r="B36" s="117" t="s">
        <v>91</v>
      </c>
      <c r="C36" s="117" t="s">
        <v>82</v>
      </c>
      <c r="D36" s="117" t="s">
        <v>97</v>
      </c>
      <c r="E36" s="117" t="s">
        <v>250</v>
      </c>
      <c r="F36" s="7" t="str">
        <f>IFERROR(INDEX(Menú!$B$5:$B$28,MATCH($E36,Menú!$A$5:$A$28,0)),"")</f>
        <v>Gaseosa personal</v>
      </c>
      <c r="G36" s="129">
        <v>10</v>
      </c>
      <c r="H36" s="8">
        <f>IFERROR(INDEX(Menú!$D$5:$D$28,MATCH($E36,Menú!$A$5:$A$28,0)),"")</f>
        <v>5000</v>
      </c>
      <c r="I36" s="130">
        <v>0</v>
      </c>
      <c r="J36" s="8">
        <f t="shared" si="0"/>
        <v>50000</v>
      </c>
      <c r="K36" s="9">
        <f>IF($C36="",0,IF($C36="Salón",Instrucciones!$C$18,IF($C36="Para llevar",Instrucciones!$C$19,IF($C36="Domicilio propio",Instrucciones!$C$20,IF($C36="App de domicilio",Instrucciones!$C$21,0)))))</f>
        <v>0</v>
      </c>
      <c r="L36" s="8">
        <f t="shared" si="1"/>
        <v>0</v>
      </c>
      <c r="M36" s="8">
        <f t="shared" si="2"/>
        <v>50000</v>
      </c>
      <c r="N36" s="8">
        <f>IFERROR($G36*INDEX(Menú!$E$5:$E$28,MATCH($E36,Menú!$A$5:$A$28,0)),"")</f>
        <v>11133.999999999998</v>
      </c>
      <c r="O36" s="8">
        <f t="shared" si="3"/>
        <v>38866</v>
      </c>
      <c r="P36" s="9">
        <f t="shared" si="4"/>
        <v>0.77732000000000001</v>
      </c>
    </row>
    <row r="37" spans="1:16" x14ac:dyDescent="0.3">
      <c r="A37" s="128">
        <v>46206</v>
      </c>
      <c r="B37" s="117" t="s">
        <v>91</v>
      </c>
      <c r="C37" s="117" t="s">
        <v>82</v>
      </c>
      <c r="D37" s="117" t="s">
        <v>98</v>
      </c>
      <c r="E37" s="117" t="s">
        <v>251</v>
      </c>
      <c r="F37" s="7" t="str">
        <f>IFERROR(INDEX(Menú!$B$5:$B$28,MATCH($E37,Menú!$A$5:$A$28,0)),"")</f>
        <v>Jugo natural en agua</v>
      </c>
      <c r="G37" s="129">
        <v>10</v>
      </c>
      <c r="H37" s="8">
        <f>IFERROR(INDEX(Menú!$D$5:$D$28,MATCH($E37,Menú!$A$5:$A$28,0)),"")</f>
        <v>8000</v>
      </c>
      <c r="I37" s="130">
        <v>0</v>
      </c>
      <c r="J37" s="8">
        <f t="shared" si="0"/>
        <v>80000</v>
      </c>
      <c r="K37" s="9">
        <f>IF($C37="",0,IF($C37="Salón",Instrucciones!$C$18,IF($C37="Para llevar",Instrucciones!$C$19,IF($C37="Domicilio propio",Instrucciones!$C$20,IF($C37="App de domicilio",Instrucciones!$C$21,0)))))</f>
        <v>0</v>
      </c>
      <c r="L37" s="8">
        <f t="shared" si="1"/>
        <v>0</v>
      </c>
      <c r="M37" s="8">
        <f t="shared" si="2"/>
        <v>80000</v>
      </c>
      <c r="N37" s="8">
        <f>IFERROR($G37*INDEX(Menú!$E$5:$E$28,MATCH($E37,Menú!$A$5:$A$28,0)),"")</f>
        <v>14530.000000000002</v>
      </c>
      <c r="O37" s="8">
        <f t="shared" si="3"/>
        <v>65470</v>
      </c>
      <c r="P37" s="9">
        <f t="shared" si="4"/>
        <v>0.81837499999999996</v>
      </c>
    </row>
    <row r="38" spans="1:16" x14ac:dyDescent="0.3">
      <c r="A38" s="128">
        <v>46206</v>
      </c>
      <c r="B38" s="117" t="s">
        <v>91</v>
      </c>
      <c r="C38" s="117" t="s">
        <v>82</v>
      </c>
      <c r="D38" s="117" t="s">
        <v>100</v>
      </c>
      <c r="E38" s="117" t="s">
        <v>253</v>
      </c>
      <c r="F38" s="7" t="str">
        <f>IFERROR(INDEX(Menú!$B$5:$B$28,MATCH($E38,Menú!$A$5:$A$28,0)),"")</f>
        <v>Café americano</v>
      </c>
      <c r="G38" s="129">
        <v>6</v>
      </c>
      <c r="H38" s="8">
        <f>IFERROR(INDEX(Menú!$D$5:$D$28,MATCH($E38,Menú!$A$5:$A$28,0)),"")</f>
        <v>4500</v>
      </c>
      <c r="I38" s="130">
        <v>0</v>
      </c>
      <c r="J38" s="8">
        <f t="shared" si="0"/>
        <v>27000</v>
      </c>
      <c r="K38" s="9">
        <f>IF($C38="",0,IF($C38="Salón",Instrucciones!$C$18,IF($C38="Para llevar",Instrucciones!$C$19,IF($C38="Domicilio propio",Instrucciones!$C$20,IF($C38="App de domicilio",Instrucciones!$C$21,0)))))</f>
        <v>0</v>
      </c>
      <c r="L38" s="8">
        <f t="shared" si="1"/>
        <v>0</v>
      </c>
      <c r="M38" s="8">
        <f t="shared" si="2"/>
        <v>27000</v>
      </c>
      <c r="N38" s="8">
        <f>IFERROR($G38*INDEX(Menú!$E$5:$E$28,MATCH($E38,Menú!$A$5:$A$28,0)),"")</f>
        <v>4653.6000000000004</v>
      </c>
      <c r="O38" s="8">
        <f t="shared" si="3"/>
        <v>22346.400000000001</v>
      </c>
      <c r="P38" s="9">
        <f t="shared" si="4"/>
        <v>0.82764444444444452</v>
      </c>
    </row>
    <row r="39" spans="1:16" x14ac:dyDescent="0.3">
      <c r="A39" s="128">
        <v>46206</v>
      </c>
      <c r="B39" s="117" t="s">
        <v>91</v>
      </c>
      <c r="C39" s="117" t="s">
        <v>82</v>
      </c>
      <c r="D39" s="117" t="s">
        <v>100</v>
      </c>
      <c r="E39" s="117" t="s">
        <v>255</v>
      </c>
      <c r="F39" s="7" t="str">
        <f>IFERROR(INDEX(Menú!$B$5:$B$28,MATCH($E39,Menú!$A$5:$A$28,0)),"")</f>
        <v>Brownie con helado</v>
      </c>
      <c r="G39" s="129">
        <v>4</v>
      </c>
      <c r="H39" s="8">
        <f>IFERROR(INDEX(Menú!$D$5:$D$28,MATCH($E39,Menú!$A$5:$A$28,0)),"")</f>
        <v>15000</v>
      </c>
      <c r="I39" s="130">
        <v>0</v>
      </c>
      <c r="J39" s="8">
        <f t="shared" si="0"/>
        <v>60000</v>
      </c>
      <c r="K39" s="9">
        <f>IF($C39="",0,IF($C39="Salón",Instrucciones!$C$18,IF($C39="Para llevar",Instrucciones!$C$19,IF($C39="Domicilio propio",Instrucciones!$C$20,IF($C39="App de domicilio",Instrucciones!$C$21,0)))))</f>
        <v>0</v>
      </c>
      <c r="L39" s="8">
        <f t="shared" si="1"/>
        <v>0</v>
      </c>
      <c r="M39" s="8">
        <f t="shared" si="2"/>
        <v>60000</v>
      </c>
      <c r="N39" s="8">
        <f>IFERROR($G39*INDEX(Menú!$E$5:$E$28,MATCH($E39,Menú!$A$5:$A$28,0)),"")</f>
        <v>14582.4</v>
      </c>
      <c r="O39" s="8">
        <f t="shared" si="3"/>
        <v>45417.599999999999</v>
      </c>
      <c r="P39" s="9">
        <f t="shared" si="4"/>
        <v>0.75695999999999997</v>
      </c>
    </row>
    <row r="40" spans="1:16" x14ac:dyDescent="0.3">
      <c r="A40" s="128">
        <v>46206</v>
      </c>
      <c r="B40" s="117" t="s">
        <v>92</v>
      </c>
      <c r="C40" s="117" t="s">
        <v>82</v>
      </c>
      <c r="D40" s="117" t="s">
        <v>98</v>
      </c>
      <c r="E40" s="117" t="s">
        <v>232</v>
      </c>
      <c r="F40" s="7" t="str">
        <f>IFERROR(INDEX(Menú!$B$5:$B$28,MATCH($E40,Menú!$A$5:$A$28,0)),"")</f>
        <v>Pollo a la plancha</v>
      </c>
      <c r="G40" s="129">
        <v>6</v>
      </c>
      <c r="H40" s="8">
        <f>IFERROR(INDEX(Menú!$D$5:$D$28,MATCH($E40,Menú!$A$5:$A$28,0)),"")</f>
        <v>32000</v>
      </c>
      <c r="I40" s="130">
        <v>0</v>
      </c>
      <c r="J40" s="8">
        <f t="shared" si="0"/>
        <v>192000</v>
      </c>
      <c r="K40" s="9">
        <f>IF($C40="",0,IF($C40="Salón",Instrucciones!$C$18,IF($C40="Para llevar",Instrucciones!$C$19,IF($C40="Domicilio propio",Instrucciones!$C$20,IF($C40="App de domicilio",Instrucciones!$C$21,0)))))</f>
        <v>0</v>
      </c>
      <c r="L40" s="8">
        <f t="shared" si="1"/>
        <v>0</v>
      </c>
      <c r="M40" s="8">
        <f t="shared" si="2"/>
        <v>192000</v>
      </c>
      <c r="N40" s="8">
        <f>IFERROR($G40*INDEX(Menú!$E$5:$E$28,MATCH($E40,Menú!$A$5:$A$28,0)),"")</f>
        <v>58801.8</v>
      </c>
      <c r="O40" s="8">
        <f t="shared" si="3"/>
        <v>133198.20000000001</v>
      </c>
      <c r="P40" s="9">
        <f t="shared" si="4"/>
        <v>0.69374062500000011</v>
      </c>
    </row>
    <row r="41" spans="1:16" x14ac:dyDescent="0.3">
      <c r="A41" s="128">
        <v>46206</v>
      </c>
      <c r="B41" s="117" t="s">
        <v>92</v>
      </c>
      <c r="C41" s="117" t="s">
        <v>82</v>
      </c>
      <c r="D41" s="117" t="s">
        <v>98</v>
      </c>
      <c r="E41" s="117" t="s">
        <v>238</v>
      </c>
      <c r="F41" s="7" t="str">
        <f>IFERROR(INDEX(Menú!$B$5:$B$28,MATCH($E41,Menú!$A$5:$A$28,0)),"")</f>
        <v>Hamburguesa clásica</v>
      </c>
      <c r="G41" s="129">
        <v>8</v>
      </c>
      <c r="H41" s="8">
        <f>IFERROR(INDEX(Menú!$D$5:$D$28,MATCH($E41,Menú!$A$5:$A$28,0)),"")</f>
        <v>28000</v>
      </c>
      <c r="I41" s="130">
        <v>0</v>
      </c>
      <c r="J41" s="8">
        <f t="shared" si="0"/>
        <v>224000</v>
      </c>
      <c r="K41" s="9">
        <f>IF($C41="",0,IF($C41="Salón",Instrucciones!$C$18,IF($C41="Para llevar",Instrucciones!$C$19,IF($C41="Domicilio propio",Instrucciones!$C$20,IF($C41="App de domicilio",Instrucciones!$C$21,0)))))</f>
        <v>0</v>
      </c>
      <c r="L41" s="8">
        <f t="shared" si="1"/>
        <v>0</v>
      </c>
      <c r="M41" s="8">
        <f t="shared" si="2"/>
        <v>224000</v>
      </c>
      <c r="N41" s="8">
        <f>IFERROR($G41*INDEX(Menú!$E$5:$E$28,MATCH($E41,Menú!$A$5:$A$28,0)),"")</f>
        <v>77270.400000000009</v>
      </c>
      <c r="O41" s="8">
        <f t="shared" si="3"/>
        <v>146729.59999999998</v>
      </c>
      <c r="P41" s="9">
        <f t="shared" si="4"/>
        <v>0.65504285714285704</v>
      </c>
    </row>
    <row r="42" spans="1:16" x14ac:dyDescent="0.3">
      <c r="A42" s="128">
        <v>46206</v>
      </c>
      <c r="B42" s="117" t="s">
        <v>92</v>
      </c>
      <c r="C42" s="117" t="s">
        <v>82</v>
      </c>
      <c r="D42" s="117" t="s">
        <v>98</v>
      </c>
      <c r="E42" s="117" t="s">
        <v>240</v>
      </c>
      <c r="F42" s="7" t="str">
        <f>IFERROR(INDEX(Menú!$B$5:$B$28,MATCH($E42,Menú!$A$5:$A$28,0)),"")</f>
        <v>Tacos de pollo (3)</v>
      </c>
      <c r="G42" s="129">
        <v>7</v>
      </c>
      <c r="H42" s="8">
        <f>IFERROR(INDEX(Menú!$D$5:$D$28,MATCH($E42,Menú!$A$5:$A$28,0)),"")</f>
        <v>26000</v>
      </c>
      <c r="I42" s="130">
        <v>0</v>
      </c>
      <c r="J42" s="8">
        <f t="shared" si="0"/>
        <v>182000</v>
      </c>
      <c r="K42" s="9">
        <f>IF($C42="",0,IF($C42="Salón",Instrucciones!$C$18,IF($C42="Para llevar",Instrucciones!$C$19,IF($C42="Domicilio propio",Instrucciones!$C$20,IF($C42="App de domicilio",Instrucciones!$C$21,0)))))</f>
        <v>0</v>
      </c>
      <c r="L42" s="8">
        <f t="shared" si="1"/>
        <v>0</v>
      </c>
      <c r="M42" s="8">
        <f t="shared" si="2"/>
        <v>182000</v>
      </c>
      <c r="N42" s="8">
        <f>IFERROR($G42*INDEX(Menú!$E$5:$E$28,MATCH($E42,Menú!$A$5:$A$28,0)),"")</f>
        <v>59705.80000000001</v>
      </c>
      <c r="O42" s="8">
        <f t="shared" si="3"/>
        <v>122294.19999999998</v>
      </c>
      <c r="P42" s="9">
        <f t="shared" si="4"/>
        <v>0.67194615384615375</v>
      </c>
    </row>
    <row r="43" spans="1:16" x14ac:dyDescent="0.3">
      <c r="A43" s="128">
        <v>46206</v>
      </c>
      <c r="B43" s="117" t="s">
        <v>92</v>
      </c>
      <c r="C43" s="117" t="s">
        <v>82</v>
      </c>
      <c r="D43" s="117" t="s">
        <v>98</v>
      </c>
      <c r="E43" s="117" t="s">
        <v>241</v>
      </c>
      <c r="F43" s="7" t="str">
        <f>IFERROR(INDEX(Menú!$B$5:$B$28,MATCH($E43,Menú!$A$5:$A$28,0)),"")</f>
        <v>Perro caliente especial</v>
      </c>
      <c r="G43" s="129">
        <v>5</v>
      </c>
      <c r="H43" s="8">
        <f>IFERROR(INDEX(Menú!$D$5:$D$28,MATCH($E43,Menú!$A$5:$A$28,0)),"")</f>
        <v>19000</v>
      </c>
      <c r="I43" s="130">
        <v>0.1</v>
      </c>
      <c r="J43" s="8">
        <f t="shared" si="0"/>
        <v>85500</v>
      </c>
      <c r="K43" s="9">
        <f>IF($C43="",0,IF($C43="Salón",Instrucciones!$C$18,IF($C43="Para llevar",Instrucciones!$C$19,IF($C43="Domicilio propio",Instrucciones!$C$20,IF($C43="App de domicilio",Instrucciones!$C$21,0)))))</f>
        <v>0</v>
      </c>
      <c r="L43" s="8">
        <f t="shared" si="1"/>
        <v>0</v>
      </c>
      <c r="M43" s="8">
        <f t="shared" si="2"/>
        <v>85500</v>
      </c>
      <c r="N43" s="8">
        <f>IFERROR($G43*INDEX(Menú!$E$5:$E$28,MATCH($E43,Menú!$A$5:$A$28,0)),"")</f>
        <v>31530.5</v>
      </c>
      <c r="O43" s="8">
        <f t="shared" si="3"/>
        <v>53969.5</v>
      </c>
      <c r="P43" s="9">
        <f t="shared" si="4"/>
        <v>0.63122222222222224</v>
      </c>
    </row>
    <row r="44" spans="1:16" x14ac:dyDescent="0.3">
      <c r="A44" s="128">
        <v>46206</v>
      </c>
      <c r="B44" s="117" t="s">
        <v>92</v>
      </c>
      <c r="C44" s="117" t="s">
        <v>85</v>
      </c>
      <c r="D44" s="117" t="s">
        <v>98</v>
      </c>
      <c r="E44" s="117" t="s">
        <v>246</v>
      </c>
      <c r="F44" s="7" t="str">
        <f>IFERROR(INDEX(Menú!$B$5:$B$28,MATCH($E44,Menú!$A$5:$A$28,0)),"")</f>
        <v>Sopa del día</v>
      </c>
      <c r="G44" s="129">
        <v>1</v>
      </c>
      <c r="H44" s="8">
        <f>IFERROR(INDEX(Menú!$D$5:$D$28,MATCH($E44,Menú!$A$5:$A$28,0)),"")</f>
        <v>14000</v>
      </c>
      <c r="I44" s="130">
        <v>0.15</v>
      </c>
      <c r="J44" s="8">
        <f t="shared" si="0"/>
        <v>11900</v>
      </c>
      <c r="K44" s="9">
        <f>IF($C44="",0,IF($C44="Salón",Instrucciones!$C$18,IF($C44="Para llevar",Instrucciones!$C$19,IF($C44="Domicilio propio",Instrucciones!$C$20,IF($C44="App de domicilio",Instrucciones!$C$21,0)))))</f>
        <v>0.22</v>
      </c>
      <c r="L44" s="8">
        <f t="shared" si="1"/>
        <v>2618</v>
      </c>
      <c r="M44" s="8">
        <f t="shared" si="2"/>
        <v>9282</v>
      </c>
      <c r="N44" s="8">
        <f>IFERROR($G44*INDEX(Menú!$E$5:$E$28,MATCH($E44,Menú!$A$5:$A$28,0)),"")</f>
        <v>3936.2</v>
      </c>
      <c r="O44" s="8">
        <f t="shared" si="3"/>
        <v>5345.8</v>
      </c>
      <c r="P44" s="9">
        <f t="shared" si="4"/>
        <v>0.57593191122602894</v>
      </c>
    </row>
    <row r="45" spans="1:16" x14ac:dyDescent="0.3">
      <c r="A45" s="128">
        <v>46206</v>
      </c>
      <c r="B45" s="117" t="s">
        <v>92</v>
      </c>
      <c r="C45" s="117" t="s">
        <v>82</v>
      </c>
      <c r="D45" s="117" t="s">
        <v>98</v>
      </c>
      <c r="E45" s="117" t="s">
        <v>249</v>
      </c>
      <c r="F45" s="7" t="str">
        <f>IFERROR(INDEX(Menú!$B$5:$B$28,MATCH($E45,Menú!$A$5:$A$28,0)),"")</f>
        <v>Arepa de huevo</v>
      </c>
      <c r="G45" s="129">
        <v>6</v>
      </c>
      <c r="H45" s="8">
        <f>IFERROR(INDEX(Menú!$D$5:$D$28,MATCH($E45,Menú!$A$5:$A$28,0)),"")</f>
        <v>9000</v>
      </c>
      <c r="I45" s="130">
        <v>0</v>
      </c>
      <c r="J45" s="8">
        <f t="shared" si="0"/>
        <v>54000</v>
      </c>
      <c r="K45" s="9">
        <f>IF($C45="",0,IF($C45="Salón",Instrucciones!$C$18,IF($C45="Para llevar",Instrucciones!$C$19,IF($C45="Domicilio propio",Instrucciones!$C$20,IF($C45="App de domicilio",Instrucciones!$C$21,0)))))</f>
        <v>0</v>
      </c>
      <c r="L45" s="8">
        <f t="shared" si="1"/>
        <v>0</v>
      </c>
      <c r="M45" s="8">
        <f t="shared" si="2"/>
        <v>54000</v>
      </c>
      <c r="N45" s="8">
        <f>IFERROR($G45*INDEX(Menú!$E$5:$E$28,MATCH($E45,Menú!$A$5:$A$28,0)),"")</f>
        <v>13308.599999999999</v>
      </c>
      <c r="O45" s="8">
        <f t="shared" si="3"/>
        <v>40691.4</v>
      </c>
      <c r="P45" s="9">
        <f t="shared" si="4"/>
        <v>0.75354444444444446</v>
      </c>
    </row>
    <row r="46" spans="1:16" x14ac:dyDescent="0.3">
      <c r="A46" s="128">
        <v>46206</v>
      </c>
      <c r="B46" s="117" t="s">
        <v>92</v>
      </c>
      <c r="C46" s="117" t="s">
        <v>82</v>
      </c>
      <c r="D46" s="117" t="s">
        <v>100</v>
      </c>
      <c r="E46" s="117" t="s">
        <v>251</v>
      </c>
      <c r="F46" s="7" t="str">
        <f>IFERROR(INDEX(Menú!$B$5:$B$28,MATCH($E46,Menú!$A$5:$A$28,0)),"")</f>
        <v>Jugo natural en agua</v>
      </c>
      <c r="G46" s="129">
        <v>3</v>
      </c>
      <c r="H46" s="8">
        <f>IFERROR(INDEX(Menú!$D$5:$D$28,MATCH($E46,Menú!$A$5:$A$28,0)),"")</f>
        <v>8000</v>
      </c>
      <c r="I46" s="130">
        <v>0</v>
      </c>
      <c r="J46" s="8">
        <f t="shared" si="0"/>
        <v>24000</v>
      </c>
      <c r="K46" s="9">
        <f>IF($C46="",0,IF($C46="Salón",Instrucciones!$C$18,IF($C46="Para llevar",Instrucciones!$C$19,IF($C46="Domicilio propio",Instrucciones!$C$20,IF($C46="App de domicilio",Instrucciones!$C$21,0)))))</f>
        <v>0</v>
      </c>
      <c r="L46" s="8">
        <f t="shared" si="1"/>
        <v>0</v>
      </c>
      <c r="M46" s="8">
        <f t="shared" si="2"/>
        <v>24000</v>
      </c>
      <c r="N46" s="8">
        <f>IFERROR($G46*INDEX(Menú!$E$5:$E$28,MATCH($E46,Menú!$A$5:$A$28,0)),"")</f>
        <v>4359.0000000000009</v>
      </c>
      <c r="O46" s="8">
        <f t="shared" si="3"/>
        <v>19641</v>
      </c>
      <c r="P46" s="9">
        <f t="shared" si="4"/>
        <v>0.81837499999999996</v>
      </c>
    </row>
    <row r="47" spans="1:16" x14ac:dyDescent="0.3">
      <c r="A47" s="128">
        <v>46206</v>
      </c>
      <c r="B47" s="117" t="s">
        <v>93</v>
      </c>
      <c r="C47" s="117" t="s">
        <v>85</v>
      </c>
      <c r="D47" s="117" t="s">
        <v>100</v>
      </c>
      <c r="E47" s="117" t="s">
        <v>232</v>
      </c>
      <c r="F47" s="7" t="str">
        <f>IFERROR(INDEX(Menú!$B$5:$B$28,MATCH($E47,Menú!$A$5:$A$28,0)),"")</f>
        <v>Pollo a la plancha</v>
      </c>
      <c r="G47" s="129">
        <v>9</v>
      </c>
      <c r="H47" s="8">
        <f>IFERROR(INDEX(Menú!$D$5:$D$28,MATCH($E47,Menú!$A$5:$A$28,0)),"")</f>
        <v>32000</v>
      </c>
      <c r="I47" s="130">
        <v>0</v>
      </c>
      <c r="J47" s="8">
        <f t="shared" si="0"/>
        <v>288000</v>
      </c>
      <c r="K47" s="9">
        <f>IF($C47="",0,IF($C47="Salón",Instrucciones!$C$18,IF($C47="Para llevar",Instrucciones!$C$19,IF($C47="Domicilio propio",Instrucciones!$C$20,IF($C47="App de domicilio",Instrucciones!$C$21,0)))))</f>
        <v>0.22</v>
      </c>
      <c r="L47" s="8">
        <f t="shared" si="1"/>
        <v>63360</v>
      </c>
      <c r="M47" s="8">
        <f t="shared" si="2"/>
        <v>224640</v>
      </c>
      <c r="N47" s="8">
        <f>IFERROR($G47*INDEX(Menú!$E$5:$E$28,MATCH($E47,Menú!$A$5:$A$28,0)),"")</f>
        <v>88202.700000000012</v>
      </c>
      <c r="O47" s="8">
        <f t="shared" si="3"/>
        <v>136437.29999999999</v>
      </c>
      <c r="P47" s="9">
        <f t="shared" si="4"/>
        <v>0.60735977564102561</v>
      </c>
    </row>
    <row r="48" spans="1:16" x14ac:dyDescent="0.3">
      <c r="A48" s="128">
        <v>46206</v>
      </c>
      <c r="B48" s="117" t="s">
        <v>93</v>
      </c>
      <c r="C48" s="117" t="s">
        <v>82</v>
      </c>
      <c r="D48" s="117" t="s">
        <v>100</v>
      </c>
      <c r="E48" s="117" t="s">
        <v>237</v>
      </c>
      <c r="F48" s="7" t="str">
        <f>IFERROR(INDEX(Menú!$B$5:$B$28,MATCH($E48,Menú!$A$5:$A$28,0)),"")</f>
        <v>Bandeja de la casa</v>
      </c>
      <c r="G48" s="129">
        <v>3</v>
      </c>
      <c r="H48" s="8">
        <f>IFERROR(INDEX(Menú!$D$5:$D$28,MATCH($E48,Menú!$A$5:$A$28,0)),"")</f>
        <v>45000</v>
      </c>
      <c r="I48" s="130">
        <v>0</v>
      </c>
      <c r="J48" s="8">
        <f t="shared" si="0"/>
        <v>135000</v>
      </c>
      <c r="K48" s="9">
        <f>IF($C48="",0,IF($C48="Salón",Instrucciones!$C$18,IF($C48="Para llevar",Instrucciones!$C$19,IF($C48="Domicilio propio",Instrucciones!$C$20,IF($C48="App de domicilio",Instrucciones!$C$21,0)))))</f>
        <v>0</v>
      </c>
      <c r="L48" s="8">
        <f t="shared" si="1"/>
        <v>0</v>
      </c>
      <c r="M48" s="8">
        <f t="shared" si="2"/>
        <v>135000</v>
      </c>
      <c r="N48" s="8">
        <f>IFERROR($G48*INDEX(Menú!$E$5:$E$28,MATCH($E48,Menú!$A$5:$A$28,0)),"")</f>
        <v>43675.619999999995</v>
      </c>
      <c r="O48" s="8">
        <f t="shared" si="3"/>
        <v>91324.38</v>
      </c>
      <c r="P48" s="9">
        <f t="shared" si="4"/>
        <v>0.67647688888888891</v>
      </c>
    </row>
    <row r="49" spans="1:16" x14ac:dyDescent="0.3">
      <c r="A49" s="128">
        <v>46207</v>
      </c>
      <c r="B49" s="117" t="s">
        <v>91</v>
      </c>
      <c r="C49" s="117" t="s">
        <v>85</v>
      </c>
      <c r="D49" s="117" t="s">
        <v>98</v>
      </c>
      <c r="E49" s="117" t="s">
        <v>232</v>
      </c>
      <c r="F49" s="7" t="str">
        <f>IFERROR(INDEX(Menú!$B$5:$B$28,MATCH($E49,Menú!$A$5:$A$28,0)),"")</f>
        <v>Pollo a la plancha</v>
      </c>
      <c r="G49" s="129">
        <v>9</v>
      </c>
      <c r="H49" s="8">
        <f>IFERROR(INDEX(Menú!$D$5:$D$28,MATCH($E49,Menú!$A$5:$A$28,0)),"")</f>
        <v>32000</v>
      </c>
      <c r="I49" s="130">
        <v>0</v>
      </c>
      <c r="J49" s="8">
        <f t="shared" si="0"/>
        <v>288000</v>
      </c>
      <c r="K49" s="9">
        <f>IF($C49="",0,IF($C49="Salón",Instrucciones!$C$18,IF($C49="Para llevar",Instrucciones!$C$19,IF($C49="Domicilio propio",Instrucciones!$C$20,IF($C49="App de domicilio",Instrucciones!$C$21,0)))))</f>
        <v>0.22</v>
      </c>
      <c r="L49" s="8">
        <f t="shared" si="1"/>
        <v>63360</v>
      </c>
      <c r="M49" s="8">
        <f t="shared" si="2"/>
        <v>224640</v>
      </c>
      <c r="N49" s="8">
        <f>IFERROR($G49*INDEX(Menú!$E$5:$E$28,MATCH($E49,Menú!$A$5:$A$28,0)),"")</f>
        <v>88202.700000000012</v>
      </c>
      <c r="O49" s="8">
        <f t="shared" si="3"/>
        <v>136437.29999999999</v>
      </c>
      <c r="P49" s="9">
        <f t="shared" si="4"/>
        <v>0.60735977564102561</v>
      </c>
    </row>
    <row r="50" spans="1:16" x14ac:dyDescent="0.3">
      <c r="A50" s="128">
        <v>46207</v>
      </c>
      <c r="B50" s="117" t="s">
        <v>91</v>
      </c>
      <c r="C50" s="117" t="s">
        <v>82</v>
      </c>
      <c r="D50" s="117" t="s">
        <v>98</v>
      </c>
      <c r="E50" s="117" t="s">
        <v>234</v>
      </c>
      <c r="F50" s="7" t="str">
        <f>IFERROR(INDEX(Menú!$B$5:$B$28,MATCH($E50,Menú!$A$5:$A$28,0)),"")</f>
        <v>Cerdo BBQ</v>
      </c>
      <c r="G50" s="129">
        <v>6</v>
      </c>
      <c r="H50" s="8">
        <f>IFERROR(INDEX(Menú!$D$5:$D$28,MATCH($E50,Menú!$A$5:$A$28,0)),"")</f>
        <v>38000</v>
      </c>
      <c r="I50" s="130">
        <v>0</v>
      </c>
      <c r="J50" s="8">
        <f t="shared" si="0"/>
        <v>228000</v>
      </c>
      <c r="K50" s="9">
        <f>IF($C50="",0,IF($C50="Salón",Instrucciones!$C$18,IF($C50="Para llevar",Instrucciones!$C$19,IF($C50="Domicilio propio",Instrucciones!$C$20,IF($C50="App de domicilio",Instrucciones!$C$21,0)))))</f>
        <v>0</v>
      </c>
      <c r="L50" s="8">
        <f t="shared" si="1"/>
        <v>0</v>
      </c>
      <c r="M50" s="8">
        <f t="shared" si="2"/>
        <v>228000</v>
      </c>
      <c r="N50" s="8">
        <f>IFERROR($G50*INDEX(Menú!$E$5:$E$28,MATCH($E50,Menú!$A$5:$A$28,0)),"")</f>
        <v>80208</v>
      </c>
      <c r="O50" s="8">
        <f t="shared" si="3"/>
        <v>147792</v>
      </c>
      <c r="P50" s="9">
        <f t="shared" si="4"/>
        <v>0.64821052631578946</v>
      </c>
    </row>
    <row r="51" spans="1:16" x14ac:dyDescent="0.3">
      <c r="A51" s="128">
        <v>46207</v>
      </c>
      <c r="B51" s="117" t="s">
        <v>91</v>
      </c>
      <c r="C51" s="117" t="s">
        <v>84</v>
      </c>
      <c r="D51" s="117" t="s">
        <v>98</v>
      </c>
      <c r="E51" s="117" t="s">
        <v>235</v>
      </c>
      <c r="F51" s="7" t="str">
        <f>IFERROR(INDEX(Menú!$B$5:$B$28,MATCH($E51,Menú!$A$5:$A$28,0)),"")</f>
        <v>Tilapia al ajillo</v>
      </c>
      <c r="G51" s="129">
        <v>5</v>
      </c>
      <c r="H51" s="8">
        <f>IFERROR(INDEX(Menú!$D$5:$D$28,MATCH($E51,Menú!$A$5:$A$28,0)),"")</f>
        <v>42000</v>
      </c>
      <c r="I51" s="130">
        <v>0</v>
      </c>
      <c r="J51" s="8">
        <f t="shared" si="0"/>
        <v>210000</v>
      </c>
      <c r="K51" s="9">
        <f>IF($C51="",0,IF($C51="Salón",Instrucciones!$C$18,IF($C51="Para llevar",Instrucciones!$C$19,IF($C51="Domicilio propio",Instrucciones!$C$20,IF($C51="App de domicilio",Instrucciones!$C$21,0)))))</f>
        <v>0.06</v>
      </c>
      <c r="L51" s="8">
        <f t="shared" si="1"/>
        <v>12600</v>
      </c>
      <c r="M51" s="8">
        <f t="shared" si="2"/>
        <v>197400</v>
      </c>
      <c r="N51" s="8">
        <f>IFERROR($G51*INDEX(Menú!$E$5:$E$28,MATCH($E51,Menú!$A$5:$A$28,0)),"")</f>
        <v>77595.5</v>
      </c>
      <c r="O51" s="8">
        <f t="shared" si="3"/>
        <v>119804.5</v>
      </c>
      <c r="P51" s="9">
        <f t="shared" si="4"/>
        <v>0.60691236068895649</v>
      </c>
    </row>
    <row r="52" spans="1:16" x14ac:dyDescent="0.3">
      <c r="A52" s="128">
        <v>46207</v>
      </c>
      <c r="B52" s="117" t="s">
        <v>91</v>
      </c>
      <c r="C52" s="117" t="s">
        <v>82</v>
      </c>
      <c r="D52" s="117" t="s">
        <v>97</v>
      </c>
      <c r="E52" s="117" t="s">
        <v>236</v>
      </c>
      <c r="F52" s="7" t="str">
        <f>IFERROR(INDEX(Menú!$B$5:$B$28,MATCH($E52,Menú!$A$5:$A$28,0)),"")</f>
        <v>Arroz con camarón</v>
      </c>
      <c r="G52" s="129">
        <v>2</v>
      </c>
      <c r="H52" s="8">
        <f>IFERROR(INDEX(Menú!$D$5:$D$28,MATCH($E52,Menú!$A$5:$A$28,0)),"")</f>
        <v>52000</v>
      </c>
      <c r="I52" s="130">
        <v>0</v>
      </c>
      <c r="J52" s="8">
        <f t="shared" si="0"/>
        <v>104000</v>
      </c>
      <c r="K52" s="9">
        <f>IF($C52="",0,IF($C52="Salón",Instrucciones!$C$18,IF($C52="Para llevar",Instrucciones!$C$19,IF($C52="Domicilio propio",Instrucciones!$C$20,IF($C52="App de domicilio",Instrucciones!$C$21,0)))))</f>
        <v>0</v>
      </c>
      <c r="L52" s="8">
        <f t="shared" si="1"/>
        <v>0</v>
      </c>
      <c r="M52" s="8">
        <f t="shared" si="2"/>
        <v>104000</v>
      </c>
      <c r="N52" s="8">
        <f>IFERROR($G52*INDEX(Menú!$E$5:$E$28,MATCH($E52,Menú!$A$5:$A$28,0)),"")</f>
        <v>36182.200000000004</v>
      </c>
      <c r="O52" s="8">
        <f t="shared" si="3"/>
        <v>67817.799999999988</v>
      </c>
      <c r="P52" s="9">
        <f t="shared" si="4"/>
        <v>0.65209423076923068</v>
      </c>
    </row>
    <row r="53" spans="1:16" x14ac:dyDescent="0.3">
      <c r="A53" s="128">
        <v>46207</v>
      </c>
      <c r="B53" s="117" t="s">
        <v>91</v>
      </c>
      <c r="C53" s="117" t="s">
        <v>82</v>
      </c>
      <c r="D53" s="117" t="s">
        <v>100</v>
      </c>
      <c r="E53" s="117" t="s">
        <v>238</v>
      </c>
      <c r="F53" s="7" t="str">
        <f>IFERROR(INDEX(Menú!$B$5:$B$28,MATCH($E53,Menú!$A$5:$A$28,0)),"")</f>
        <v>Hamburguesa clásica</v>
      </c>
      <c r="G53" s="129">
        <v>12</v>
      </c>
      <c r="H53" s="8">
        <f>IFERROR(INDEX(Menú!$D$5:$D$28,MATCH($E53,Menú!$A$5:$A$28,0)),"")</f>
        <v>28000</v>
      </c>
      <c r="I53" s="130">
        <v>0</v>
      </c>
      <c r="J53" s="8">
        <f t="shared" si="0"/>
        <v>336000</v>
      </c>
      <c r="K53" s="9">
        <f>IF($C53="",0,IF($C53="Salón",Instrucciones!$C$18,IF($C53="Para llevar",Instrucciones!$C$19,IF($C53="Domicilio propio",Instrucciones!$C$20,IF($C53="App de domicilio",Instrucciones!$C$21,0)))))</f>
        <v>0</v>
      </c>
      <c r="L53" s="8">
        <f t="shared" si="1"/>
        <v>0</v>
      </c>
      <c r="M53" s="8">
        <f t="shared" si="2"/>
        <v>336000</v>
      </c>
      <c r="N53" s="8">
        <f>IFERROR($G53*INDEX(Menú!$E$5:$E$28,MATCH($E53,Menú!$A$5:$A$28,0)),"")</f>
        <v>115905.60000000001</v>
      </c>
      <c r="O53" s="8">
        <f t="shared" si="3"/>
        <v>220094.4</v>
      </c>
      <c r="P53" s="9">
        <f t="shared" si="4"/>
        <v>0.65504285714285715</v>
      </c>
    </row>
    <row r="54" spans="1:16" x14ac:dyDescent="0.3">
      <c r="A54" s="128">
        <v>46207</v>
      </c>
      <c r="B54" s="117" t="s">
        <v>91</v>
      </c>
      <c r="C54" s="117" t="s">
        <v>82</v>
      </c>
      <c r="D54" s="117" t="s">
        <v>98</v>
      </c>
      <c r="E54" s="117" t="s">
        <v>241</v>
      </c>
      <c r="F54" s="7" t="str">
        <f>IFERROR(INDEX(Menú!$B$5:$B$28,MATCH($E54,Menú!$A$5:$A$28,0)),"")</f>
        <v>Perro caliente especial</v>
      </c>
      <c r="G54" s="129">
        <v>8</v>
      </c>
      <c r="H54" s="8">
        <f>IFERROR(INDEX(Menú!$D$5:$D$28,MATCH($E54,Menú!$A$5:$A$28,0)),"")</f>
        <v>19000</v>
      </c>
      <c r="I54" s="130">
        <v>0</v>
      </c>
      <c r="J54" s="8">
        <f t="shared" si="0"/>
        <v>152000</v>
      </c>
      <c r="K54" s="9">
        <f>IF($C54="",0,IF($C54="Salón",Instrucciones!$C$18,IF($C54="Para llevar",Instrucciones!$C$19,IF($C54="Domicilio propio",Instrucciones!$C$20,IF($C54="App de domicilio",Instrucciones!$C$21,0)))))</f>
        <v>0</v>
      </c>
      <c r="L54" s="8">
        <f t="shared" si="1"/>
        <v>0</v>
      </c>
      <c r="M54" s="8">
        <f t="shared" si="2"/>
        <v>152000</v>
      </c>
      <c r="N54" s="8">
        <f>IFERROR($G54*INDEX(Menú!$E$5:$E$28,MATCH($E54,Menú!$A$5:$A$28,0)),"")</f>
        <v>50448.800000000003</v>
      </c>
      <c r="O54" s="8">
        <f t="shared" si="3"/>
        <v>101551.2</v>
      </c>
      <c r="P54" s="9">
        <f t="shared" si="4"/>
        <v>0.66810000000000003</v>
      </c>
    </row>
    <row r="55" spans="1:16" x14ac:dyDescent="0.3">
      <c r="A55" s="128">
        <v>46207</v>
      </c>
      <c r="B55" s="117" t="s">
        <v>91</v>
      </c>
      <c r="C55" s="117" t="s">
        <v>82</v>
      </c>
      <c r="D55" s="117" t="s">
        <v>98</v>
      </c>
      <c r="E55" s="117" t="s">
        <v>250</v>
      </c>
      <c r="F55" s="7" t="str">
        <f>IFERROR(INDEX(Menú!$B$5:$B$28,MATCH($E55,Menú!$A$5:$A$28,0)),"")</f>
        <v>Gaseosa personal</v>
      </c>
      <c r="G55" s="129">
        <v>10</v>
      </c>
      <c r="H55" s="8">
        <f>IFERROR(INDEX(Menú!$D$5:$D$28,MATCH($E55,Menú!$A$5:$A$28,0)),"")</f>
        <v>5000</v>
      </c>
      <c r="I55" s="130">
        <v>0</v>
      </c>
      <c r="J55" s="8">
        <f t="shared" si="0"/>
        <v>50000</v>
      </c>
      <c r="K55" s="9">
        <f>IF($C55="",0,IF($C55="Salón",Instrucciones!$C$18,IF($C55="Para llevar",Instrucciones!$C$19,IF($C55="Domicilio propio",Instrucciones!$C$20,IF($C55="App de domicilio",Instrucciones!$C$21,0)))))</f>
        <v>0</v>
      </c>
      <c r="L55" s="8">
        <f t="shared" si="1"/>
        <v>0</v>
      </c>
      <c r="M55" s="8">
        <f t="shared" si="2"/>
        <v>50000</v>
      </c>
      <c r="N55" s="8">
        <f>IFERROR($G55*INDEX(Menú!$E$5:$E$28,MATCH($E55,Menú!$A$5:$A$28,0)),"")</f>
        <v>11133.999999999998</v>
      </c>
      <c r="O55" s="8">
        <f t="shared" si="3"/>
        <v>38866</v>
      </c>
      <c r="P55" s="9">
        <f t="shared" si="4"/>
        <v>0.77732000000000001</v>
      </c>
    </row>
    <row r="56" spans="1:16" x14ac:dyDescent="0.3">
      <c r="A56" s="128">
        <v>46207</v>
      </c>
      <c r="B56" s="117" t="s">
        <v>91</v>
      </c>
      <c r="C56" s="117" t="s">
        <v>84</v>
      </c>
      <c r="D56" s="117" t="s">
        <v>100</v>
      </c>
      <c r="E56" s="117" t="s">
        <v>251</v>
      </c>
      <c r="F56" s="7" t="str">
        <f>IFERROR(INDEX(Menú!$B$5:$B$28,MATCH($E56,Menú!$A$5:$A$28,0)),"")</f>
        <v>Jugo natural en agua</v>
      </c>
      <c r="G56" s="129">
        <v>10</v>
      </c>
      <c r="H56" s="8">
        <f>IFERROR(INDEX(Menú!$D$5:$D$28,MATCH($E56,Menú!$A$5:$A$28,0)),"")</f>
        <v>8000</v>
      </c>
      <c r="I56" s="130">
        <v>0</v>
      </c>
      <c r="J56" s="8">
        <f t="shared" si="0"/>
        <v>80000</v>
      </c>
      <c r="K56" s="9">
        <f>IF($C56="",0,IF($C56="Salón",Instrucciones!$C$18,IF($C56="Para llevar",Instrucciones!$C$19,IF($C56="Domicilio propio",Instrucciones!$C$20,IF($C56="App de domicilio",Instrucciones!$C$21,0)))))</f>
        <v>0.06</v>
      </c>
      <c r="L56" s="8">
        <f t="shared" si="1"/>
        <v>4800</v>
      </c>
      <c r="M56" s="8">
        <f t="shared" si="2"/>
        <v>75200</v>
      </c>
      <c r="N56" s="8">
        <f>IFERROR($G56*INDEX(Menú!$E$5:$E$28,MATCH($E56,Menú!$A$5:$A$28,0)),"")</f>
        <v>14530.000000000002</v>
      </c>
      <c r="O56" s="8">
        <f t="shared" si="3"/>
        <v>60670</v>
      </c>
      <c r="P56" s="9">
        <f t="shared" si="4"/>
        <v>0.80678191489361706</v>
      </c>
    </row>
    <row r="57" spans="1:16" x14ac:dyDescent="0.3">
      <c r="A57" s="128">
        <v>46207</v>
      </c>
      <c r="B57" s="117" t="s">
        <v>92</v>
      </c>
      <c r="C57" s="117" t="s">
        <v>85</v>
      </c>
      <c r="D57" s="117" t="s">
        <v>98</v>
      </c>
      <c r="E57" s="117" t="s">
        <v>238</v>
      </c>
      <c r="F57" s="7" t="str">
        <f>IFERROR(INDEX(Menú!$B$5:$B$28,MATCH($E57,Menú!$A$5:$A$28,0)),"")</f>
        <v>Hamburguesa clásica</v>
      </c>
      <c r="G57" s="129">
        <v>11</v>
      </c>
      <c r="H57" s="8">
        <f>IFERROR(INDEX(Menú!$D$5:$D$28,MATCH($E57,Menú!$A$5:$A$28,0)),"")</f>
        <v>28000</v>
      </c>
      <c r="I57" s="130">
        <v>0</v>
      </c>
      <c r="J57" s="8">
        <f t="shared" si="0"/>
        <v>308000</v>
      </c>
      <c r="K57" s="9">
        <f>IF($C57="",0,IF($C57="Salón",Instrucciones!$C$18,IF($C57="Para llevar",Instrucciones!$C$19,IF($C57="Domicilio propio",Instrucciones!$C$20,IF($C57="App de domicilio",Instrucciones!$C$21,0)))))</f>
        <v>0.22</v>
      </c>
      <c r="L57" s="8">
        <f t="shared" si="1"/>
        <v>67760</v>
      </c>
      <c r="M57" s="8">
        <f t="shared" si="2"/>
        <v>240240</v>
      </c>
      <c r="N57" s="8">
        <f>IFERROR($G57*INDEX(Menú!$E$5:$E$28,MATCH($E57,Menú!$A$5:$A$28,0)),"")</f>
        <v>106246.80000000002</v>
      </c>
      <c r="O57" s="8">
        <f t="shared" si="3"/>
        <v>133993.19999999998</v>
      </c>
      <c r="P57" s="9">
        <f t="shared" si="4"/>
        <v>0.55774725274725268</v>
      </c>
    </row>
    <row r="58" spans="1:16" x14ac:dyDescent="0.3">
      <c r="A58" s="128">
        <v>46207</v>
      </c>
      <c r="B58" s="117" t="s">
        <v>92</v>
      </c>
      <c r="C58" s="117" t="s">
        <v>85</v>
      </c>
      <c r="D58" s="117" t="s">
        <v>98</v>
      </c>
      <c r="E58" s="117" t="s">
        <v>239</v>
      </c>
      <c r="F58" s="7" t="str">
        <f>IFERROR(INDEX(Menú!$B$5:$B$28,MATCH($E58,Menú!$A$5:$A$28,0)),"")</f>
        <v>Hamburguesa doble</v>
      </c>
      <c r="G58" s="129">
        <v>1</v>
      </c>
      <c r="H58" s="8">
        <f>IFERROR(INDEX(Menú!$D$5:$D$28,MATCH($E58,Menú!$A$5:$A$28,0)),"")</f>
        <v>36000</v>
      </c>
      <c r="I58" s="130">
        <v>0</v>
      </c>
      <c r="J58" s="8">
        <f t="shared" si="0"/>
        <v>36000</v>
      </c>
      <c r="K58" s="9">
        <f>IF($C58="",0,IF($C58="Salón",Instrucciones!$C$18,IF($C58="Para llevar",Instrucciones!$C$19,IF($C58="Domicilio propio",Instrucciones!$C$20,IF($C58="App de domicilio",Instrucciones!$C$21,0)))))</f>
        <v>0.22</v>
      </c>
      <c r="L58" s="8">
        <f t="shared" si="1"/>
        <v>7920</v>
      </c>
      <c r="M58" s="8">
        <f t="shared" si="2"/>
        <v>28080</v>
      </c>
      <c r="N58" s="8">
        <f>IFERROR($G58*INDEX(Menú!$E$5:$E$28,MATCH($E58,Menú!$A$5:$A$28,0)),"")</f>
        <v>11035.2</v>
      </c>
      <c r="O58" s="8">
        <f t="shared" si="3"/>
        <v>17044.8</v>
      </c>
      <c r="P58" s="9">
        <f t="shared" si="4"/>
        <v>0.60700854700854701</v>
      </c>
    </row>
    <row r="59" spans="1:16" x14ac:dyDescent="0.3">
      <c r="A59" s="128">
        <v>46207</v>
      </c>
      <c r="B59" s="117" t="s">
        <v>92</v>
      </c>
      <c r="C59" s="117" t="s">
        <v>83</v>
      </c>
      <c r="D59" s="117" t="s">
        <v>98</v>
      </c>
      <c r="E59" s="117" t="s">
        <v>242</v>
      </c>
      <c r="F59" s="7" t="str">
        <f>IFERROR(INDEX(Menú!$B$5:$B$28,MATCH($E59,Menú!$A$5:$A$28,0)),"")</f>
        <v>Salchipapa</v>
      </c>
      <c r="G59" s="129">
        <v>5</v>
      </c>
      <c r="H59" s="8">
        <f>IFERROR(INDEX(Menú!$D$5:$D$28,MATCH($E59,Menú!$A$5:$A$28,0)),"")</f>
        <v>22000</v>
      </c>
      <c r="I59" s="130">
        <v>0</v>
      </c>
      <c r="J59" s="8">
        <f t="shared" si="0"/>
        <v>110000</v>
      </c>
      <c r="K59" s="9">
        <f>IF($C59="",0,IF($C59="Salón",Instrucciones!$C$18,IF($C59="Para llevar",Instrucciones!$C$19,IF($C59="Domicilio propio",Instrucciones!$C$20,IF($C59="App de domicilio",Instrucciones!$C$21,0)))))</f>
        <v>0</v>
      </c>
      <c r="L59" s="8">
        <f t="shared" si="1"/>
        <v>0</v>
      </c>
      <c r="M59" s="8">
        <f t="shared" si="2"/>
        <v>110000</v>
      </c>
      <c r="N59" s="8">
        <f>IFERROR($G59*INDEX(Menú!$E$5:$E$28,MATCH($E59,Menú!$A$5:$A$28,0)),"")</f>
        <v>32183.999999999996</v>
      </c>
      <c r="O59" s="8">
        <f t="shared" si="3"/>
        <v>77816</v>
      </c>
      <c r="P59" s="9">
        <f t="shared" si="4"/>
        <v>0.70741818181818183</v>
      </c>
    </row>
    <row r="60" spans="1:16" x14ac:dyDescent="0.3">
      <c r="A60" s="128">
        <v>46207</v>
      </c>
      <c r="B60" s="117" t="s">
        <v>92</v>
      </c>
      <c r="C60" s="117" t="s">
        <v>83</v>
      </c>
      <c r="D60" s="117" t="s">
        <v>100</v>
      </c>
      <c r="E60" s="117" t="s">
        <v>246</v>
      </c>
      <c r="F60" s="7" t="str">
        <f>IFERROR(INDEX(Menú!$B$5:$B$28,MATCH($E60,Menú!$A$5:$A$28,0)),"")</f>
        <v>Sopa del día</v>
      </c>
      <c r="G60" s="129">
        <v>1</v>
      </c>
      <c r="H60" s="8">
        <f>IFERROR(INDEX(Menú!$D$5:$D$28,MATCH($E60,Menú!$A$5:$A$28,0)),"")</f>
        <v>14000</v>
      </c>
      <c r="I60" s="130">
        <v>0.15</v>
      </c>
      <c r="J60" s="8">
        <f t="shared" si="0"/>
        <v>11900</v>
      </c>
      <c r="K60" s="9">
        <f>IF($C60="",0,IF($C60="Salón",Instrucciones!$C$18,IF($C60="Para llevar",Instrucciones!$C$19,IF($C60="Domicilio propio",Instrucciones!$C$20,IF($C60="App de domicilio",Instrucciones!$C$21,0)))))</f>
        <v>0</v>
      </c>
      <c r="L60" s="8">
        <f t="shared" si="1"/>
        <v>0</v>
      </c>
      <c r="M60" s="8">
        <f t="shared" si="2"/>
        <v>11900</v>
      </c>
      <c r="N60" s="8">
        <f>IFERROR($G60*INDEX(Menú!$E$5:$E$28,MATCH($E60,Menú!$A$5:$A$28,0)),"")</f>
        <v>3936.2</v>
      </c>
      <c r="O60" s="8">
        <f t="shared" si="3"/>
        <v>7963.8</v>
      </c>
      <c r="P60" s="9">
        <f t="shared" si="4"/>
        <v>0.66922689075630248</v>
      </c>
    </row>
    <row r="61" spans="1:16" x14ac:dyDescent="0.3">
      <c r="A61" s="128">
        <v>46207</v>
      </c>
      <c r="B61" s="117" t="s">
        <v>92</v>
      </c>
      <c r="C61" s="117" t="s">
        <v>82</v>
      </c>
      <c r="D61" s="117" t="s">
        <v>97</v>
      </c>
      <c r="E61" s="117" t="s">
        <v>247</v>
      </c>
      <c r="F61" s="7" t="str">
        <f>IFERROR(INDEX(Menú!$B$5:$B$28,MATCH($E61,Menú!$A$5:$A$28,0)),"")</f>
        <v>Patacón con queso</v>
      </c>
      <c r="G61" s="129">
        <v>2</v>
      </c>
      <c r="H61" s="8">
        <f>IFERROR(INDEX(Menú!$D$5:$D$28,MATCH($E61,Menú!$A$5:$A$28,0)),"")</f>
        <v>16000</v>
      </c>
      <c r="I61" s="130">
        <v>0</v>
      </c>
      <c r="J61" s="8">
        <f t="shared" si="0"/>
        <v>32000</v>
      </c>
      <c r="K61" s="9">
        <f>IF($C61="",0,IF($C61="Salón",Instrucciones!$C$18,IF($C61="Para llevar",Instrucciones!$C$19,IF($C61="Domicilio propio",Instrucciones!$C$20,IF($C61="App de domicilio",Instrucciones!$C$21,0)))))</f>
        <v>0</v>
      </c>
      <c r="L61" s="8">
        <f t="shared" si="1"/>
        <v>0</v>
      </c>
      <c r="M61" s="8">
        <f t="shared" si="2"/>
        <v>32000</v>
      </c>
      <c r="N61" s="8">
        <f>IFERROR($G61*INDEX(Menú!$E$5:$E$28,MATCH($E61,Menú!$A$5:$A$28,0)),"")</f>
        <v>9594.4000000000015</v>
      </c>
      <c r="O61" s="8">
        <f t="shared" si="3"/>
        <v>22405.599999999999</v>
      </c>
      <c r="P61" s="9">
        <f t="shared" si="4"/>
        <v>0.70017499999999999</v>
      </c>
    </row>
    <row r="62" spans="1:16" x14ac:dyDescent="0.3">
      <c r="A62" s="128">
        <v>46207</v>
      </c>
      <c r="B62" s="117" t="s">
        <v>92</v>
      </c>
      <c r="C62" s="117" t="s">
        <v>85</v>
      </c>
      <c r="D62" s="117" t="s">
        <v>100</v>
      </c>
      <c r="E62" s="117" t="s">
        <v>249</v>
      </c>
      <c r="F62" s="7" t="str">
        <f>IFERROR(INDEX(Menú!$B$5:$B$28,MATCH($E62,Menú!$A$5:$A$28,0)),"")</f>
        <v>Arepa de huevo</v>
      </c>
      <c r="G62" s="129">
        <v>10</v>
      </c>
      <c r="H62" s="8">
        <f>IFERROR(INDEX(Menú!$D$5:$D$28,MATCH($E62,Menú!$A$5:$A$28,0)),"")</f>
        <v>9000</v>
      </c>
      <c r="I62" s="130">
        <v>0.15</v>
      </c>
      <c r="J62" s="8">
        <f t="shared" si="0"/>
        <v>76500</v>
      </c>
      <c r="K62" s="9">
        <f>IF($C62="",0,IF($C62="Salón",Instrucciones!$C$18,IF($C62="Para llevar",Instrucciones!$C$19,IF($C62="Domicilio propio",Instrucciones!$C$20,IF($C62="App de domicilio",Instrucciones!$C$21,0)))))</f>
        <v>0.22</v>
      </c>
      <c r="L62" s="8">
        <f t="shared" si="1"/>
        <v>16830</v>
      </c>
      <c r="M62" s="8">
        <f t="shared" si="2"/>
        <v>59670</v>
      </c>
      <c r="N62" s="8">
        <f>IFERROR($G62*INDEX(Menú!$E$5:$E$28,MATCH($E62,Menú!$A$5:$A$28,0)),"")</f>
        <v>22181</v>
      </c>
      <c r="O62" s="8">
        <f t="shared" si="3"/>
        <v>37489</v>
      </c>
      <c r="P62" s="9">
        <f t="shared" si="4"/>
        <v>0.62827216356628124</v>
      </c>
    </row>
    <row r="63" spans="1:16" x14ac:dyDescent="0.3">
      <c r="A63" s="128">
        <v>46207</v>
      </c>
      <c r="B63" s="117" t="s">
        <v>92</v>
      </c>
      <c r="C63" s="117" t="s">
        <v>82</v>
      </c>
      <c r="D63" s="117" t="s">
        <v>97</v>
      </c>
      <c r="E63" s="117" t="s">
        <v>251</v>
      </c>
      <c r="F63" s="7" t="str">
        <f>IFERROR(INDEX(Menú!$B$5:$B$28,MATCH($E63,Menú!$A$5:$A$28,0)),"")</f>
        <v>Jugo natural en agua</v>
      </c>
      <c r="G63" s="129">
        <v>4</v>
      </c>
      <c r="H63" s="8">
        <f>IFERROR(INDEX(Menú!$D$5:$D$28,MATCH($E63,Menú!$A$5:$A$28,0)),"")</f>
        <v>8000</v>
      </c>
      <c r="I63" s="130">
        <v>0</v>
      </c>
      <c r="J63" s="8">
        <f t="shared" si="0"/>
        <v>32000</v>
      </c>
      <c r="K63" s="9">
        <f>IF($C63="",0,IF($C63="Salón",Instrucciones!$C$18,IF($C63="Para llevar",Instrucciones!$C$19,IF($C63="Domicilio propio",Instrucciones!$C$20,IF($C63="App de domicilio",Instrucciones!$C$21,0)))))</f>
        <v>0</v>
      </c>
      <c r="L63" s="8">
        <f t="shared" si="1"/>
        <v>0</v>
      </c>
      <c r="M63" s="8">
        <f t="shared" si="2"/>
        <v>32000</v>
      </c>
      <c r="N63" s="8">
        <f>IFERROR($G63*INDEX(Menú!$E$5:$E$28,MATCH($E63,Menú!$A$5:$A$28,0)),"")</f>
        <v>5812.0000000000009</v>
      </c>
      <c r="O63" s="8">
        <f t="shared" si="3"/>
        <v>26188</v>
      </c>
      <c r="P63" s="9">
        <f t="shared" si="4"/>
        <v>0.81837499999999996</v>
      </c>
    </row>
    <row r="64" spans="1:16" x14ac:dyDescent="0.3">
      <c r="A64" s="128">
        <v>46207</v>
      </c>
      <c r="B64" s="117" t="s">
        <v>92</v>
      </c>
      <c r="C64" s="117" t="s">
        <v>82</v>
      </c>
      <c r="D64" s="117" t="s">
        <v>97</v>
      </c>
      <c r="E64" s="117" t="s">
        <v>253</v>
      </c>
      <c r="F64" s="7" t="str">
        <f>IFERROR(INDEX(Menú!$B$5:$B$28,MATCH($E64,Menú!$A$5:$A$28,0)),"")</f>
        <v>Café americano</v>
      </c>
      <c r="G64" s="129">
        <v>3</v>
      </c>
      <c r="H64" s="8">
        <f>IFERROR(INDEX(Menú!$D$5:$D$28,MATCH($E64,Menú!$A$5:$A$28,0)),"")</f>
        <v>4500</v>
      </c>
      <c r="I64" s="130">
        <v>0</v>
      </c>
      <c r="J64" s="8">
        <f t="shared" si="0"/>
        <v>13500</v>
      </c>
      <c r="K64" s="9">
        <f>IF($C64="",0,IF($C64="Salón",Instrucciones!$C$18,IF($C64="Para llevar",Instrucciones!$C$19,IF($C64="Domicilio propio",Instrucciones!$C$20,IF($C64="App de domicilio",Instrucciones!$C$21,0)))))</f>
        <v>0</v>
      </c>
      <c r="L64" s="8">
        <f t="shared" si="1"/>
        <v>0</v>
      </c>
      <c r="M64" s="8">
        <f t="shared" si="2"/>
        <v>13500</v>
      </c>
      <c r="N64" s="8">
        <f>IFERROR($G64*INDEX(Menú!$E$5:$E$28,MATCH($E64,Menú!$A$5:$A$28,0)),"")</f>
        <v>2326.8000000000002</v>
      </c>
      <c r="O64" s="8">
        <f t="shared" si="3"/>
        <v>11173.2</v>
      </c>
      <c r="P64" s="9">
        <f t="shared" si="4"/>
        <v>0.82764444444444452</v>
      </c>
    </row>
    <row r="65" spans="1:16" x14ac:dyDescent="0.3">
      <c r="A65" s="128">
        <v>46207</v>
      </c>
      <c r="B65" s="117" t="s">
        <v>93</v>
      </c>
      <c r="C65" s="117" t="s">
        <v>85</v>
      </c>
      <c r="D65" s="117" t="s">
        <v>99</v>
      </c>
      <c r="E65" s="117" t="s">
        <v>234</v>
      </c>
      <c r="F65" s="7" t="str">
        <f>IFERROR(INDEX(Menú!$B$5:$B$28,MATCH($E65,Menú!$A$5:$A$28,0)),"")</f>
        <v>Cerdo BBQ</v>
      </c>
      <c r="G65" s="129">
        <v>9</v>
      </c>
      <c r="H65" s="8">
        <f>IFERROR(INDEX(Menú!$D$5:$D$28,MATCH($E65,Menú!$A$5:$A$28,0)),"")</f>
        <v>38000</v>
      </c>
      <c r="I65" s="130">
        <v>0</v>
      </c>
      <c r="J65" s="8">
        <f t="shared" si="0"/>
        <v>342000</v>
      </c>
      <c r="K65" s="9">
        <f>IF($C65="",0,IF($C65="Salón",Instrucciones!$C$18,IF($C65="Para llevar",Instrucciones!$C$19,IF($C65="Domicilio propio",Instrucciones!$C$20,IF($C65="App de domicilio",Instrucciones!$C$21,0)))))</f>
        <v>0.22</v>
      </c>
      <c r="L65" s="8">
        <f t="shared" si="1"/>
        <v>75240</v>
      </c>
      <c r="M65" s="8">
        <f t="shared" si="2"/>
        <v>266760</v>
      </c>
      <c r="N65" s="8">
        <f>IFERROR($G65*INDEX(Menú!$E$5:$E$28,MATCH($E65,Menú!$A$5:$A$28,0)),"")</f>
        <v>120312</v>
      </c>
      <c r="O65" s="8">
        <f t="shared" si="3"/>
        <v>146448</v>
      </c>
      <c r="P65" s="9">
        <f t="shared" si="4"/>
        <v>0.54898785425101215</v>
      </c>
    </row>
    <row r="66" spans="1:16" x14ac:dyDescent="0.3">
      <c r="A66" s="128">
        <v>46207</v>
      </c>
      <c r="B66" s="117" t="s">
        <v>93</v>
      </c>
      <c r="C66" s="117" t="s">
        <v>85</v>
      </c>
      <c r="D66" s="117" t="s">
        <v>100</v>
      </c>
      <c r="E66" s="117" t="s">
        <v>238</v>
      </c>
      <c r="F66" s="7" t="str">
        <f>IFERROR(INDEX(Menú!$B$5:$B$28,MATCH($E66,Menú!$A$5:$A$28,0)),"")</f>
        <v>Hamburguesa clásica</v>
      </c>
      <c r="G66" s="129">
        <v>4</v>
      </c>
      <c r="H66" s="8">
        <f>IFERROR(INDEX(Menú!$D$5:$D$28,MATCH($E66,Menú!$A$5:$A$28,0)),"")</f>
        <v>28000</v>
      </c>
      <c r="I66" s="130">
        <v>0</v>
      </c>
      <c r="J66" s="8">
        <f t="shared" si="0"/>
        <v>112000</v>
      </c>
      <c r="K66" s="9">
        <f>IF($C66="",0,IF($C66="Salón",Instrucciones!$C$18,IF($C66="Para llevar",Instrucciones!$C$19,IF($C66="Domicilio propio",Instrucciones!$C$20,IF($C66="App de domicilio",Instrucciones!$C$21,0)))))</f>
        <v>0.22</v>
      </c>
      <c r="L66" s="8">
        <f t="shared" si="1"/>
        <v>24640</v>
      </c>
      <c r="M66" s="8">
        <f t="shared" si="2"/>
        <v>87360</v>
      </c>
      <c r="N66" s="8">
        <f>IFERROR($G66*INDEX(Menú!$E$5:$E$28,MATCH($E66,Menú!$A$5:$A$28,0)),"")</f>
        <v>38635.200000000004</v>
      </c>
      <c r="O66" s="8">
        <f t="shared" si="3"/>
        <v>48724.799999999996</v>
      </c>
      <c r="P66" s="9">
        <f t="shared" si="4"/>
        <v>0.55774725274725268</v>
      </c>
    </row>
    <row r="67" spans="1:16" x14ac:dyDescent="0.3">
      <c r="A67" s="128">
        <v>46207</v>
      </c>
      <c r="B67" s="117" t="s">
        <v>93</v>
      </c>
      <c r="C67" s="117" t="s">
        <v>82</v>
      </c>
      <c r="D67" s="117" t="s">
        <v>98</v>
      </c>
      <c r="E67" s="117" t="s">
        <v>247</v>
      </c>
      <c r="F67" s="7" t="str">
        <f>IFERROR(INDEX(Menú!$B$5:$B$28,MATCH($E67,Menú!$A$5:$A$28,0)),"")</f>
        <v>Patacón con queso</v>
      </c>
      <c r="G67" s="129">
        <v>5</v>
      </c>
      <c r="H67" s="8">
        <f>IFERROR(INDEX(Menú!$D$5:$D$28,MATCH($E67,Menú!$A$5:$A$28,0)),"")</f>
        <v>16000</v>
      </c>
      <c r="I67" s="130">
        <v>0</v>
      </c>
      <c r="J67" s="8">
        <f t="shared" si="0"/>
        <v>80000</v>
      </c>
      <c r="K67" s="9">
        <f>IF($C67="",0,IF($C67="Salón",Instrucciones!$C$18,IF($C67="Para llevar",Instrucciones!$C$19,IF($C67="Domicilio propio",Instrucciones!$C$20,IF($C67="App de domicilio",Instrucciones!$C$21,0)))))</f>
        <v>0</v>
      </c>
      <c r="L67" s="8">
        <f t="shared" si="1"/>
        <v>0</v>
      </c>
      <c r="M67" s="8">
        <f t="shared" si="2"/>
        <v>80000</v>
      </c>
      <c r="N67" s="8">
        <f>IFERROR($G67*INDEX(Menú!$E$5:$E$28,MATCH($E67,Menú!$A$5:$A$28,0)),"")</f>
        <v>23986.000000000004</v>
      </c>
      <c r="O67" s="8">
        <f t="shared" si="3"/>
        <v>56014</v>
      </c>
      <c r="P67" s="9">
        <f t="shared" si="4"/>
        <v>0.70017499999999999</v>
      </c>
    </row>
    <row r="68" spans="1:16" x14ac:dyDescent="0.3">
      <c r="A68" s="128">
        <v>46208</v>
      </c>
      <c r="B68" s="117" t="s">
        <v>91</v>
      </c>
      <c r="C68" s="117" t="s">
        <v>82</v>
      </c>
      <c r="D68" s="117" t="s">
        <v>100</v>
      </c>
      <c r="E68" s="117" t="s">
        <v>234</v>
      </c>
      <c r="F68" s="7" t="str">
        <f>IFERROR(INDEX(Menú!$B$5:$B$28,MATCH($E68,Menú!$A$5:$A$28,0)),"")</f>
        <v>Cerdo BBQ</v>
      </c>
      <c r="G68" s="129">
        <v>6</v>
      </c>
      <c r="H68" s="8">
        <f>IFERROR(INDEX(Menú!$D$5:$D$28,MATCH($E68,Menú!$A$5:$A$28,0)),"")</f>
        <v>38000</v>
      </c>
      <c r="I68" s="130">
        <v>0.15</v>
      </c>
      <c r="J68" s="8">
        <f t="shared" si="0"/>
        <v>193800</v>
      </c>
      <c r="K68" s="9">
        <f>IF($C68="",0,IF($C68="Salón",Instrucciones!$C$18,IF($C68="Para llevar",Instrucciones!$C$19,IF($C68="Domicilio propio",Instrucciones!$C$20,IF($C68="App de domicilio",Instrucciones!$C$21,0)))))</f>
        <v>0</v>
      </c>
      <c r="L68" s="8">
        <f t="shared" si="1"/>
        <v>0</v>
      </c>
      <c r="M68" s="8">
        <f t="shared" si="2"/>
        <v>193800</v>
      </c>
      <c r="N68" s="8">
        <f>IFERROR($G68*INDEX(Menú!$E$5:$E$28,MATCH($E68,Menú!$A$5:$A$28,0)),"")</f>
        <v>80208</v>
      </c>
      <c r="O68" s="8">
        <f t="shared" si="3"/>
        <v>113592</v>
      </c>
      <c r="P68" s="9">
        <f t="shared" si="4"/>
        <v>0.58613003095975236</v>
      </c>
    </row>
    <row r="69" spans="1:16" x14ac:dyDescent="0.3">
      <c r="A69" s="128">
        <v>46208</v>
      </c>
      <c r="B69" s="117" t="s">
        <v>91</v>
      </c>
      <c r="C69" s="117" t="s">
        <v>82</v>
      </c>
      <c r="D69" s="117" t="s">
        <v>98</v>
      </c>
      <c r="E69" s="117" t="s">
        <v>241</v>
      </c>
      <c r="F69" s="7" t="str">
        <f>IFERROR(INDEX(Menú!$B$5:$B$28,MATCH($E69,Menú!$A$5:$A$28,0)),"")</f>
        <v>Perro caliente especial</v>
      </c>
      <c r="G69" s="129">
        <v>5</v>
      </c>
      <c r="H69" s="8">
        <f>IFERROR(INDEX(Menú!$D$5:$D$28,MATCH($E69,Menú!$A$5:$A$28,0)),"")</f>
        <v>19000</v>
      </c>
      <c r="I69" s="130">
        <v>0.1</v>
      </c>
      <c r="J69" s="8">
        <f t="shared" ref="J69:J104" si="5">IFERROR($G69*$H69*(1-$I69),"")</f>
        <v>85500</v>
      </c>
      <c r="K69" s="9">
        <f>IF($C69="",0,IF($C69="Salón",Instrucciones!$C$18,IF($C69="Para llevar",Instrucciones!$C$19,IF($C69="Domicilio propio",Instrucciones!$C$20,IF($C69="App de domicilio",Instrucciones!$C$21,0)))))</f>
        <v>0</v>
      </c>
      <c r="L69" s="8">
        <f t="shared" ref="L69:L104" si="6">IFERROR($J69*$K69,"")</f>
        <v>0</v>
      </c>
      <c r="M69" s="8">
        <f t="shared" ref="M69:M104" si="7">IFERROR($J69-$L69,"")</f>
        <v>85500</v>
      </c>
      <c r="N69" s="8">
        <f>IFERROR($G69*INDEX(Menú!$E$5:$E$28,MATCH($E69,Menú!$A$5:$A$28,0)),"")</f>
        <v>31530.5</v>
      </c>
      <c r="O69" s="8">
        <f t="shared" ref="O69:O104" si="8">IFERROR($M69-$N69,"")</f>
        <v>53969.5</v>
      </c>
      <c r="P69" s="9">
        <f t="shared" ref="P69:P104" si="9">IFERROR($O69/$M69,"")</f>
        <v>0.63122222222222224</v>
      </c>
    </row>
    <row r="70" spans="1:16" x14ac:dyDescent="0.3">
      <c r="A70" s="128">
        <v>46208</v>
      </c>
      <c r="B70" s="117" t="s">
        <v>91</v>
      </c>
      <c r="C70" s="117" t="s">
        <v>82</v>
      </c>
      <c r="D70" s="117" t="s">
        <v>98</v>
      </c>
      <c r="E70" s="117" t="s">
        <v>244</v>
      </c>
      <c r="F70" s="7" t="str">
        <f>IFERROR(INDEX(Menú!$B$5:$B$28,MATCH($E70,Menú!$A$5:$A$28,0)),"")</f>
        <v>Ensalada César con pollo</v>
      </c>
      <c r="G70" s="129">
        <v>7</v>
      </c>
      <c r="H70" s="8">
        <f>IFERROR(INDEX(Menú!$D$5:$D$28,MATCH($E70,Menú!$A$5:$A$28,0)),"")</f>
        <v>26000</v>
      </c>
      <c r="I70" s="130">
        <v>0</v>
      </c>
      <c r="J70" s="8">
        <f t="shared" si="5"/>
        <v>182000</v>
      </c>
      <c r="K70" s="9">
        <f>IF($C70="",0,IF($C70="Salón",Instrucciones!$C$18,IF($C70="Para llevar",Instrucciones!$C$19,IF($C70="Domicilio propio",Instrucciones!$C$20,IF($C70="App de domicilio",Instrucciones!$C$21,0)))))</f>
        <v>0</v>
      </c>
      <c r="L70" s="8">
        <f t="shared" si="6"/>
        <v>0</v>
      </c>
      <c r="M70" s="8">
        <f t="shared" si="7"/>
        <v>182000</v>
      </c>
      <c r="N70" s="8">
        <f>IFERROR($G70*INDEX(Menú!$E$5:$E$28,MATCH($E70,Menú!$A$5:$A$28,0)),"")</f>
        <v>57093.4</v>
      </c>
      <c r="O70" s="8">
        <f t="shared" si="8"/>
        <v>124906.6</v>
      </c>
      <c r="P70" s="9">
        <f t="shared" si="9"/>
        <v>0.68630000000000002</v>
      </c>
    </row>
    <row r="71" spans="1:16" x14ac:dyDescent="0.3">
      <c r="A71" s="128">
        <v>46208</v>
      </c>
      <c r="B71" s="117" t="s">
        <v>91</v>
      </c>
      <c r="C71" s="117" t="s">
        <v>82</v>
      </c>
      <c r="D71" s="117" t="s">
        <v>98</v>
      </c>
      <c r="E71" s="117" t="s">
        <v>246</v>
      </c>
      <c r="F71" s="7" t="str">
        <f>IFERROR(INDEX(Menú!$B$5:$B$28,MATCH($E71,Menú!$A$5:$A$28,0)),"")</f>
        <v>Sopa del día</v>
      </c>
      <c r="G71" s="129">
        <v>6</v>
      </c>
      <c r="H71" s="8">
        <f>IFERROR(INDEX(Menú!$D$5:$D$28,MATCH($E71,Menú!$A$5:$A$28,0)),"")</f>
        <v>14000</v>
      </c>
      <c r="I71" s="130">
        <v>0</v>
      </c>
      <c r="J71" s="8">
        <f t="shared" si="5"/>
        <v>84000</v>
      </c>
      <c r="K71" s="9">
        <f>IF($C71="",0,IF($C71="Salón",Instrucciones!$C$18,IF($C71="Para llevar",Instrucciones!$C$19,IF($C71="Domicilio propio",Instrucciones!$C$20,IF($C71="App de domicilio",Instrucciones!$C$21,0)))))</f>
        <v>0</v>
      </c>
      <c r="L71" s="8">
        <f t="shared" si="6"/>
        <v>0</v>
      </c>
      <c r="M71" s="8">
        <f t="shared" si="7"/>
        <v>84000</v>
      </c>
      <c r="N71" s="8">
        <f>IFERROR($G71*INDEX(Menú!$E$5:$E$28,MATCH($E71,Menú!$A$5:$A$28,0)),"")</f>
        <v>23617.199999999997</v>
      </c>
      <c r="O71" s="8">
        <f t="shared" si="8"/>
        <v>60382.8</v>
      </c>
      <c r="P71" s="9">
        <f t="shared" si="9"/>
        <v>0.71884285714285723</v>
      </c>
    </row>
    <row r="72" spans="1:16" x14ac:dyDescent="0.3">
      <c r="A72" s="128">
        <v>46208</v>
      </c>
      <c r="B72" s="117" t="s">
        <v>91</v>
      </c>
      <c r="C72" s="117" t="s">
        <v>82</v>
      </c>
      <c r="D72" s="117" t="s">
        <v>100</v>
      </c>
      <c r="E72" s="117" t="s">
        <v>253</v>
      </c>
      <c r="F72" s="7" t="str">
        <f>IFERROR(INDEX(Menú!$B$5:$B$28,MATCH($E72,Menú!$A$5:$A$28,0)),"")</f>
        <v>Café americano</v>
      </c>
      <c r="G72" s="129">
        <v>6</v>
      </c>
      <c r="H72" s="8">
        <f>IFERROR(INDEX(Menú!$D$5:$D$28,MATCH($E72,Menú!$A$5:$A$28,0)),"")</f>
        <v>4500</v>
      </c>
      <c r="I72" s="130">
        <v>0</v>
      </c>
      <c r="J72" s="8">
        <f t="shared" si="5"/>
        <v>27000</v>
      </c>
      <c r="K72" s="9">
        <f>IF($C72="",0,IF($C72="Salón",Instrucciones!$C$18,IF($C72="Para llevar",Instrucciones!$C$19,IF($C72="Domicilio propio",Instrucciones!$C$20,IF($C72="App de domicilio",Instrucciones!$C$21,0)))))</f>
        <v>0</v>
      </c>
      <c r="L72" s="8">
        <f t="shared" si="6"/>
        <v>0</v>
      </c>
      <c r="M72" s="8">
        <f t="shared" si="7"/>
        <v>27000</v>
      </c>
      <c r="N72" s="8">
        <f>IFERROR($G72*INDEX(Menú!$E$5:$E$28,MATCH($E72,Menú!$A$5:$A$28,0)),"")</f>
        <v>4653.6000000000004</v>
      </c>
      <c r="O72" s="8">
        <f t="shared" si="8"/>
        <v>22346.400000000001</v>
      </c>
      <c r="P72" s="9">
        <f t="shared" si="9"/>
        <v>0.82764444444444452</v>
      </c>
    </row>
    <row r="73" spans="1:16" x14ac:dyDescent="0.3">
      <c r="A73" s="128">
        <v>46208</v>
      </c>
      <c r="B73" s="117" t="s">
        <v>91</v>
      </c>
      <c r="C73" s="117" t="s">
        <v>85</v>
      </c>
      <c r="D73" s="117" t="s">
        <v>100</v>
      </c>
      <c r="E73" s="117" t="s">
        <v>254</v>
      </c>
      <c r="F73" s="7" t="str">
        <f>IFERROR(INDEX(Menú!$B$5:$B$28,MATCH($E73,Menú!$A$5:$A$28,0)),"")</f>
        <v>Postre de la casa</v>
      </c>
      <c r="G73" s="129">
        <v>4</v>
      </c>
      <c r="H73" s="8">
        <f>IFERROR(INDEX(Menú!$D$5:$D$28,MATCH($E73,Menú!$A$5:$A$28,0)),"")</f>
        <v>13000</v>
      </c>
      <c r="I73" s="130">
        <v>0</v>
      </c>
      <c r="J73" s="8">
        <f t="shared" si="5"/>
        <v>52000</v>
      </c>
      <c r="K73" s="9">
        <f>IF($C73="",0,IF($C73="Salón",Instrucciones!$C$18,IF($C73="Para llevar",Instrucciones!$C$19,IF($C73="Domicilio propio",Instrucciones!$C$20,IF($C73="App de domicilio",Instrucciones!$C$21,0)))))</f>
        <v>0.22</v>
      </c>
      <c r="L73" s="8">
        <f t="shared" si="6"/>
        <v>11440</v>
      </c>
      <c r="M73" s="8">
        <f t="shared" si="7"/>
        <v>40560</v>
      </c>
      <c r="N73" s="8">
        <f>IFERROR($G73*INDEX(Menú!$E$5:$E$28,MATCH($E73,Menú!$A$5:$A$28,0)),"")</f>
        <v>10981.359999999999</v>
      </c>
      <c r="O73" s="8">
        <f t="shared" si="8"/>
        <v>29578.639999999999</v>
      </c>
      <c r="P73" s="9">
        <f t="shared" si="9"/>
        <v>0.72925641025641019</v>
      </c>
    </row>
    <row r="74" spans="1:16" x14ac:dyDescent="0.3">
      <c r="A74" s="128">
        <v>46208</v>
      </c>
      <c r="B74" s="117" t="s">
        <v>92</v>
      </c>
      <c r="C74" s="117" t="s">
        <v>83</v>
      </c>
      <c r="D74" s="117" t="s">
        <v>98</v>
      </c>
      <c r="E74" s="117" t="s">
        <v>233</v>
      </c>
      <c r="F74" s="7" t="str">
        <f>IFERROR(INDEX(Menú!$B$5:$B$28,MATCH($E74,Menú!$A$5:$A$28,0)),"")</f>
        <v>Lomo al pimienta</v>
      </c>
      <c r="G74" s="129">
        <v>7</v>
      </c>
      <c r="H74" s="8">
        <f>IFERROR(INDEX(Menú!$D$5:$D$28,MATCH($E74,Menú!$A$5:$A$28,0)),"")</f>
        <v>48000</v>
      </c>
      <c r="I74" s="130">
        <v>0</v>
      </c>
      <c r="J74" s="8">
        <f t="shared" si="5"/>
        <v>336000</v>
      </c>
      <c r="K74" s="9">
        <f>IF($C74="",0,IF($C74="Salón",Instrucciones!$C$18,IF($C74="Para llevar",Instrucciones!$C$19,IF($C74="Domicilio propio",Instrucciones!$C$20,IF($C74="App de domicilio",Instrucciones!$C$21,0)))))</f>
        <v>0</v>
      </c>
      <c r="L74" s="8">
        <f t="shared" si="6"/>
        <v>0</v>
      </c>
      <c r="M74" s="8">
        <f t="shared" si="7"/>
        <v>336000</v>
      </c>
      <c r="N74" s="8">
        <f>IFERROR($G74*INDEX(Menú!$E$5:$E$28,MATCH($E74,Menú!$A$5:$A$28,0)),"")</f>
        <v>111966.39999999999</v>
      </c>
      <c r="O74" s="8">
        <f t="shared" si="8"/>
        <v>224033.6</v>
      </c>
      <c r="P74" s="9">
        <f t="shared" si="9"/>
        <v>0.66676666666666673</v>
      </c>
    </row>
    <row r="75" spans="1:16" x14ac:dyDescent="0.3">
      <c r="A75" s="128">
        <v>46208</v>
      </c>
      <c r="B75" s="117" t="s">
        <v>92</v>
      </c>
      <c r="C75" s="117" t="s">
        <v>85</v>
      </c>
      <c r="D75" s="117" t="s">
        <v>100</v>
      </c>
      <c r="E75" s="117" t="s">
        <v>240</v>
      </c>
      <c r="F75" s="7" t="str">
        <f>IFERROR(INDEX(Menú!$B$5:$B$28,MATCH($E75,Menú!$A$5:$A$28,0)),"")</f>
        <v>Tacos de pollo (3)</v>
      </c>
      <c r="G75" s="129">
        <v>3</v>
      </c>
      <c r="H75" s="8">
        <f>IFERROR(INDEX(Menú!$D$5:$D$28,MATCH($E75,Menú!$A$5:$A$28,0)),"")</f>
        <v>26000</v>
      </c>
      <c r="I75" s="130">
        <v>0</v>
      </c>
      <c r="J75" s="8">
        <f t="shared" si="5"/>
        <v>78000</v>
      </c>
      <c r="K75" s="9">
        <f>IF($C75="",0,IF($C75="Salón",Instrucciones!$C$18,IF($C75="Para llevar",Instrucciones!$C$19,IF($C75="Domicilio propio",Instrucciones!$C$20,IF($C75="App de domicilio",Instrucciones!$C$21,0)))))</f>
        <v>0.22</v>
      </c>
      <c r="L75" s="8">
        <f t="shared" si="6"/>
        <v>17160</v>
      </c>
      <c r="M75" s="8">
        <f t="shared" si="7"/>
        <v>60840</v>
      </c>
      <c r="N75" s="8">
        <f>IFERROR($G75*INDEX(Menú!$E$5:$E$28,MATCH($E75,Menú!$A$5:$A$28,0)),"")</f>
        <v>25588.200000000004</v>
      </c>
      <c r="O75" s="8">
        <f t="shared" si="8"/>
        <v>35251.799999999996</v>
      </c>
      <c r="P75" s="9">
        <f t="shared" si="9"/>
        <v>0.57941814595660746</v>
      </c>
    </row>
    <row r="76" spans="1:16" x14ac:dyDescent="0.3">
      <c r="A76" s="128">
        <v>46208</v>
      </c>
      <c r="B76" s="117" t="s">
        <v>92</v>
      </c>
      <c r="C76" s="117" t="s">
        <v>85</v>
      </c>
      <c r="D76" s="117" t="s">
        <v>98</v>
      </c>
      <c r="E76" s="117" t="s">
        <v>242</v>
      </c>
      <c r="F76" s="7" t="str">
        <f>IFERROR(INDEX(Menú!$B$5:$B$28,MATCH($E76,Menú!$A$5:$A$28,0)),"")</f>
        <v>Salchipapa</v>
      </c>
      <c r="G76" s="129">
        <v>10</v>
      </c>
      <c r="H76" s="8">
        <f>IFERROR(INDEX(Menú!$D$5:$D$28,MATCH($E76,Menú!$A$5:$A$28,0)),"")</f>
        <v>22000</v>
      </c>
      <c r="I76" s="130">
        <v>0</v>
      </c>
      <c r="J76" s="8">
        <f t="shared" si="5"/>
        <v>220000</v>
      </c>
      <c r="K76" s="9">
        <f>IF($C76="",0,IF($C76="Salón",Instrucciones!$C$18,IF($C76="Para llevar",Instrucciones!$C$19,IF($C76="Domicilio propio",Instrucciones!$C$20,IF($C76="App de domicilio",Instrucciones!$C$21,0)))))</f>
        <v>0.22</v>
      </c>
      <c r="L76" s="8">
        <f t="shared" si="6"/>
        <v>48400</v>
      </c>
      <c r="M76" s="8">
        <f t="shared" si="7"/>
        <v>171600</v>
      </c>
      <c r="N76" s="8">
        <f>IFERROR($G76*INDEX(Menú!$E$5:$E$28,MATCH($E76,Menú!$A$5:$A$28,0)),"")</f>
        <v>64367.999999999993</v>
      </c>
      <c r="O76" s="8">
        <f t="shared" si="8"/>
        <v>107232</v>
      </c>
      <c r="P76" s="9">
        <f t="shared" si="9"/>
        <v>0.62489510489510491</v>
      </c>
    </row>
    <row r="77" spans="1:16" x14ac:dyDescent="0.3">
      <c r="A77" s="128">
        <v>46208</v>
      </c>
      <c r="B77" s="117" t="s">
        <v>92</v>
      </c>
      <c r="C77" s="117" t="s">
        <v>82</v>
      </c>
      <c r="D77" s="117" t="s">
        <v>97</v>
      </c>
      <c r="E77" s="117" t="s">
        <v>243</v>
      </c>
      <c r="F77" s="7" t="str">
        <f>IFERROR(INDEX(Menú!$B$5:$B$28,MATCH($E77,Menú!$A$5:$A$28,0)),"")</f>
        <v>Pizza mozzarella personal</v>
      </c>
      <c r="G77" s="129">
        <v>5</v>
      </c>
      <c r="H77" s="8">
        <f>IFERROR(INDEX(Menú!$D$5:$D$28,MATCH($E77,Menú!$A$5:$A$28,0)),"")</f>
        <v>30000</v>
      </c>
      <c r="I77" s="130">
        <v>0.1</v>
      </c>
      <c r="J77" s="8">
        <f t="shared" si="5"/>
        <v>135000</v>
      </c>
      <c r="K77" s="9">
        <f>IF($C77="",0,IF($C77="Salón",Instrucciones!$C$18,IF($C77="Para llevar",Instrucciones!$C$19,IF($C77="Domicilio propio",Instrucciones!$C$20,IF($C77="App de domicilio",Instrucciones!$C$21,0)))))</f>
        <v>0</v>
      </c>
      <c r="L77" s="8">
        <f t="shared" si="6"/>
        <v>0</v>
      </c>
      <c r="M77" s="8">
        <f t="shared" si="7"/>
        <v>135000</v>
      </c>
      <c r="N77" s="8">
        <f>IFERROR($G77*INDEX(Menú!$E$5:$E$28,MATCH($E77,Menú!$A$5:$A$28,0)),"")</f>
        <v>49970.5</v>
      </c>
      <c r="O77" s="8">
        <f t="shared" si="8"/>
        <v>85029.5</v>
      </c>
      <c r="P77" s="9">
        <f t="shared" si="9"/>
        <v>0.62984814814814816</v>
      </c>
    </row>
    <row r="78" spans="1:16" x14ac:dyDescent="0.3">
      <c r="A78" s="128">
        <v>46208</v>
      </c>
      <c r="B78" s="117" t="s">
        <v>92</v>
      </c>
      <c r="C78" s="117" t="s">
        <v>82</v>
      </c>
      <c r="D78" s="117" t="s">
        <v>98</v>
      </c>
      <c r="E78" s="117" t="s">
        <v>249</v>
      </c>
      <c r="F78" s="7" t="str">
        <f>IFERROR(INDEX(Menú!$B$5:$B$28,MATCH($E78,Menú!$A$5:$A$28,0)),"")</f>
        <v>Arepa de huevo</v>
      </c>
      <c r="G78" s="129">
        <v>4</v>
      </c>
      <c r="H78" s="8">
        <f>IFERROR(INDEX(Menú!$D$5:$D$28,MATCH($E78,Menú!$A$5:$A$28,0)),"")</f>
        <v>9000</v>
      </c>
      <c r="I78" s="130">
        <v>0</v>
      </c>
      <c r="J78" s="8">
        <f t="shared" si="5"/>
        <v>36000</v>
      </c>
      <c r="K78" s="9">
        <f>IF($C78="",0,IF($C78="Salón",Instrucciones!$C$18,IF($C78="Para llevar",Instrucciones!$C$19,IF($C78="Domicilio propio",Instrucciones!$C$20,IF($C78="App de domicilio",Instrucciones!$C$21,0)))))</f>
        <v>0</v>
      </c>
      <c r="L78" s="8">
        <f t="shared" si="6"/>
        <v>0</v>
      </c>
      <c r="M78" s="8">
        <f t="shared" si="7"/>
        <v>36000</v>
      </c>
      <c r="N78" s="8">
        <f>IFERROR($G78*INDEX(Menú!$E$5:$E$28,MATCH($E78,Menú!$A$5:$A$28,0)),"")</f>
        <v>8872.4</v>
      </c>
      <c r="O78" s="8">
        <f t="shared" si="8"/>
        <v>27127.599999999999</v>
      </c>
      <c r="P78" s="9">
        <f t="shared" si="9"/>
        <v>0.75354444444444435</v>
      </c>
    </row>
    <row r="79" spans="1:16" x14ac:dyDescent="0.3">
      <c r="A79" s="128">
        <v>46208</v>
      </c>
      <c r="B79" s="117" t="s">
        <v>92</v>
      </c>
      <c r="C79" s="117" t="s">
        <v>85</v>
      </c>
      <c r="D79" s="117" t="s">
        <v>100</v>
      </c>
      <c r="E79" s="117" t="s">
        <v>250</v>
      </c>
      <c r="F79" s="7" t="str">
        <f>IFERROR(INDEX(Menú!$B$5:$B$28,MATCH($E79,Menú!$A$5:$A$28,0)),"")</f>
        <v>Gaseosa personal</v>
      </c>
      <c r="G79" s="129">
        <v>11</v>
      </c>
      <c r="H79" s="8">
        <f>IFERROR(INDEX(Menú!$D$5:$D$28,MATCH($E79,Menú!$A$5:$A$28,0)),"")</f>
        <v>5000</v>
      </c>
      <c r="I79" s="130">
        <v>0</v>
      </c>
      <c r="J79" s="8">
        <f t="shared" si="5"/>
        <v>55000</v>
      </c>
      <c r="K79" s="9">
        <f>IF($C79="",0,IF($C79="Salón",Instrucciones!$C$18,IF($C79="Para llevar",Instrucciones!$C$19,IF($C79="Domicilio propio",Instrucciones!$C$20,IF($C79="App de domicilio",Instrucciones!$C$21,0)))))</f>
        <v>0.22</v>
      </c>
      <c r="L79" s="8">
        <f t="shared" si="6"/>
        <v>12100</v>
      </c>
      <c r="M79" s="8">
        <f t="shared" si="7"/>
        <v>42900</v>
      </c>
      <c r="N79" s="8">
        <f>IFERROR($G79*INDEX(Menú!$E$5:$E$28,MATCH($E79,Menú!$A$5:$A$28,0)),"")</f>
        <v>12247.399999999998</v>
      </c>
      <c r="O79" s="8">
        <f t="shared" si="8"/>
        <v>30652.600000000002</v>
      </c>
      <c r="P79" s="9">
        <f t="shared" si="9"/>
        <v>0.71451282051282061</v>
      </c>
    </row>
    <row r="80" spans="1:16" x14ac:dyDescent="0.3">
      <c r="A80" s="128">
        <v>46208</v>
      </c>
      <c r="B80" s="117" t="s">
        <v>92</v>
      </c>
      <c r="C80" s="117" t="s">
        <v>84</v>
      </c>
      <c r="D80" s="117" t="s">
        <v>97</v>
      </c>
      <c r="E80" s="117" t="s">
        <v>251</v>
      </c>
      <c r="F80" s="7" t="str">
        <f>IFERROR(INDEX(Menú!$B$5:$B$28,MATCH($E80,Menú!$A$5:$A$28,0)),"")</f>
        <v>Jugo natural en agua</v>
      </c>
      <c r="G80" s="129">
        <v>10</v>
      </c>
      <c r="H80" s="8">
        <f>IFERROR(INDEX(Menú!$D$5:$D$28,MATCH($E80,Menú!$A$5:$A$28,0)),"")</f>
        <v>8000</v>
      </c>
      <c r="I80" s="130">
        <v>0.1</v>
      </c>
      <c r="J80" s="8">
        <f t="shared" si="5"/>
        <v>72000</v>
      </c>
      <c r="K80" s="9">
        <f>IF($C80="",0,IF($C80="Salón",Instrucciones!$C$18,IF($C80="Para llevar",Instrucciones!$C$19,IF($C80="Domicilio propio",Instrucciones!$C$20,IF($C80="App de domicilio",Instrucciones!$C$21,0)))))</f>
        <v>0.06</v>
      </c>
      <c r="L80" s="8">
        <f t="shared" si="6"/>
        <v>4320</v>
      </c>
      <c r="M80" s="8">
        <f t="shared" si="7"/>
        <v>67680</v>
      </c>
      <c r="N80" s="8">
        <f>IFERROR($G80*INDEX(Menú!$E$5:$E$28,MATCH($E80,Menú!$A$5:$A$28,0)),"")</f>
        <v>14530.000000000002</v>
      </c>
      <c r="O80" s="8">
        <f t="shared" si="8"/>
        <v>53150</v>
      </c>
      <c r="P80" s="9">
        <f t="shared" si="9"/>
        <v>0.7853132387706856</v>
      </c>
    </row>
    <row r="81" spans="1:16" x14ac:dyDescent="0.3">
      <c r="A81" s="128">
        <v>46208</v>
      </c>
      <c r="B81" s="117" t="s">
        <v>92</v>
      </c>
      <c r="C81" s="117" t="s">
        <v>85</v>
      </c>
      <c r="D81" s="117" t="s">
        <v>100</v>
      </c>
      <c r="E81" s="117" t="s">
        <v>254</v>
      </c>
      <c r="F81" s="7" t="str">
        <f>IFERROR(INDEX(Menú!$B$5:$B$28,MATCH($E81,Menú!$A$5:$A$28,0)),"")</f>
        <v>Postre de la casa</v>
      </c>
      <c r="G81" s="129">
        <v>4</v>
      </c>
      <c r="H81" s="8">
        <f>IFERROR(INDEX(Menú!$D$5:$D$28,MATCH($E81,Menú!$A$5:$A$28,0)),"")</f>
        <v>13000</v>
      </c>
      <c r="I81" s="130">
        <v>0</v>
      </c>
      <c r="J81" s="8">
        <f t="shared" si="5"/>
        <v>52000</v>
      </c>
      <c r="K81" s="9">
        <f>IF($C81="",0,IF($C81="Salón",Instrucciones!$C$18,IF($C81="Para llevar",Instrucciones!$C$19,IF($C81="Domicilio propio",Instrucciones!$C$20,IF($C81="App de domicilio",Instrucciones!$C$21,0)))))</f>
        <v>0.22</v>
      </c>
      <c r="L81" s="8">
        <f t="shared" si="6"/>
        <v>11440</v>
      </c>
      <c r="M81" s="8">
        <f t="shared" si="7"/>
        <v>40560</v>
      </c>
      <c r="N81" s="8">
        <f>IFERROR($G81*INDEX(Menú!$E$5:$E$28,MATCH($E81,Menú!$A$5:$A$28,0)),"")</f>
        <v>10981.359999999999</v>
      </c>
      <c r="O81" s="8">
        <f t="shared" si="8"/>
        <v>29578.639999999999</v>
      </c>
      <c r="P81" s="9">
        <f t="shared" si="9"/>
        <v>0.72925641025641019</v>
      </c>
    </row>
    <row r="82" spans="1:16" x14ac:dyDescent="0.3">
      <c r="A82" s="128">
        <v>46208</v>
      </c>
      <c r="B82" s="117" t="s">
        <v>92</v>
      </c>
      <c r="C82" s="117" t="s">
        <v>82</v>
      </c>
      <c r="D82" s="117" t="s">
        <v>100</v>
      </c>
      <c r="E82" s="117" t="s">
        <v>255</v>
      </c>
      <c r="F82" s="7" t="str">
        <f>IFERROR(INDEX(Menú!$B$5:$B$28,MATCH($E82,Menú!$A$5:$A$28,0)),"")</f>
        <v>Brownie con helado</v>
      </c>
      <c r="G82" s="129">
        <v>1</v>
      </c>
      <c r="H82" s="8">
        <f>IFERROR(INDEX(Menú!$D$5:$D$28,MATCH($E82,Menú!$A$5:$A$28,0)),"")</f>
        <v>15000</v>
      </c>
      <c r="I82" s="130">
        <v>0</v>
      </c>
      <c r="J82" s="8">
        <f t="shared" si="5"/>
        <v>15000</v>
      </c>
      <c r="K82" s="9">
        <f>IF($C82="",0,IF($C82="Salón",Instrucciones!$C$18,IF($C82="Para llevar",Instrucciones!$C$19,IF($C82="Domicilio propio",Instrucciones!$C$20,IF($C82="App de domicilio",Instrucciones!$C$21,0)))))</f>
        <v>0</v>
      </c>
      <c r="L82" s="8">
        <f t="shared" si="6"/>
        <v>0</v>
      </c>
      <c r="M82" s="8">
        <f t="shared" si="7"/>
        <v>15000</v>
      </c>
      <c r="N82" s="8">
        <f>IFERROR($G82*INDEX(Menú!$E$5:$E$28,MATCH($E82,Menú!$A$5:$A$28,0)),"")</f>
        <v>3645.6</v>
      </c>
      <c r="O82" s="8">
        <f t="shared" si="8"/>
        <v>11354.4</v>
      </c>
      <c r="P82" s="9">
        <f t="shared" si="9"/>
        <v>0.75695999999999997</v>
      </c>
    </row>
    <row r="83" spans="1:16" x14ac:dyDescent="0.3">
      <c r="A83" s="128">
        <v>46208</v>
      </c>
      <c r="B83" s="117" t="s">
        <v>93</v>
      </c>
      <c r="C83" s="117" t="s">
        <v>83</v>
      </c>
      <c r="D83" s="117" t="s">
        <v>98</v>
      </c>
      <c r="E83" s="117" t="s">
        <v>234</v>
      </c>
      <c r="F83" s="7" t="str">
        <f>IFERROR(INDEX(Menú!$B$5:$B$28,MATCH($E83,Menú!$A$5:$A$28,0)),"")</f>
        <v>Cerdo BBQ</v>
      </c>
      <c r="G83" s="129">
        <v>1</v>
      </c>
      <c r="H83" s="8">
        <f>IFERROR(INDEX(Menú!$D$5:$D$28,MATCH($E83,Menú!$A$5:$A$28,0)),"")</f>
        <v>38000</v>
      </c>
      <c r="I83" s="130">
        <v>0</v>
      </c>
      <c r="J83" s="8">
        <f t="shared" si="5"/>
        <v>38000</v>
      </c>
      <c r="K83" s="9">
        <f>IF($C83="",0,IF($C83="Salón",Instrucciones!$C$18,IF($C83="Para llevar",Instrucciones!$C$19,IF($C83="Domicilio propio",Instrucciones!$C$20,IF($C83="App de domicilio",Instrucciones!$C$21,0)))))</f>
        <v>0</v>
      </c>
      <c r="L83" s="8">
        <f t="shared" si="6"/>
        <v>0</v>
      </c>
      <c r="M83" s="8">
        <f t="shared" si="7"/>
        <v>38000</v>
      </c>
      <c r="N83" s="8">
        <f>IFERROR($G83*INDEX(Menú!$E$5:$E$28,MATCH($E83,Menú!$A$5:$A$28,0)),"")</f>
        <v>13368</v>
      </c>
      <c r="O83" s="8">
        <f t="shared" si="8"/>
        <v>24632</v>
      </c>
      <c r="P83" s="9">
        <f t="shared" si="9"/>
        <v>0.64821052631578946</v>
      </c>
    </row>
    <row r="84" spans="1:16" x14ac:dyDescent="0.3">
      <c r="A84" s="128">
        <v>46208</v>
      </c>
      <c r="B84" s="117" t="s">
        <v>93</v>
      </c>
      <c r="C84" s="117" t="s">
        <v>82</v>
      </c>
      <c r="D84" s="117" t="s">
        <v>98</v>
      </c>
      <c r="E84" s="117" t="s">
        <v>249</v>
      </c>
      <c r="F84" s="7" t="str">
        <f>IFERROR(INDEX(Menú!$B$5:$B$28,MATCH($E84,Menú!$A$5:$A$28,0)),"")</f>
        <v>Arepa de huevo</v>
      </c>
      <c r="G84" s="129">
        <v>2</v>
      </c>
      <c r="H84" s="8">
        <f>IFERROR(INDEX(Menú!$D$5:$D$28,MATCH($E84,Menú!$A$5:$A$28,0)),"")</f>
        <v>9000</v>
      </c>
      <c r="I84" s="130">
        <v>0</v>
      </c>
      <c r="J84" s="8">
        <f t="shared" si="5"/>
        <v>18000</v>
      </c>
      <c r="K84" s="9">
        <f>IF($C84="",0,IF($C84="Salón",Instrucciones!$C$18,IF($C84="Para llevar",Instrucciones!$C$19,IF($C84="Domicilio propio",Instrucciones!$C$20,IF($C84="App de domicilio",Instrucciones!$C$21,0)))))</f>
        <v>0</v>
      </c>
      <c r="L84" s="8">
        <f t="shared" si="6"/>
        <v>0</v>
      </c>
      <c r="M84" s="8">
        <f t="shared" si="7"/>
        <v>18000</v>
      </c>
      <c r="N84" s="8">
        <f>IFERROR($G84*INDEX(Menú!$E$5:$E$28,MATCH($E84,Menú!$A$5:$A$28,0)),"")</f>
        <v>4436.2</v>
      </c>
      <c r="O84" s="8">
        <f t="shared" si="8"/>
        <v>13563.8</v>
      </c>
      <c r="P84" s="9">
        <f t="shared" si="9"/>
        <v>0.75354444444444435</v>
      </c>
    </row>
    <row r="85" spans="1:16" x14ac:dyDescent="0.3">
      <c r="A85" s="128">
        <v>46208</v>
      </c>
      <c r="B85" s="117" t="s">
        <v>93</v>
      </c>
      <c r="C85" s="117" t="s">
        <v>82</v>
      </c>
      <c r="D85" s="117" t="s">
        <v>99</v>
      </c>
      <c r="E85" s="117" t="s">
        <v>250</v>
      </c>
      <c r="F85" s="7" t="str">
        <f>IFERROR(INDEX(Menú!$B$5:$B$28,MATCH($E85,Menú!$A$5:$A$28,0)),"")</f>
        <v>Gaseosa personal</v>
      </c>
      <c r="G85" s="129">
        <v>8</v>
      </c>
      <c r="H85" s="8">
        <f>IFERROR(INDEX(Menú!$D$5:$D$28,MATCH($E85,Menú!$A$5:$A$28,0)),"")</f>
        <v>5000</v>
      </c>
      <c r="I85" s="130">
        <v>0</v>
      </c>
      <c r="J85" s="8">
        <f t="shared" si="5"/>
        <v>40000</v>
      </c>
      <c r="K85" s="9">
        <f>IF($C85="",0,IF($C85="Salón",Instrucciones!$C$18,IF($C85="Para llevar",Instrucciones!$C$19,IF($C85="Domicilio propio",Instrucciones!$C$20,IF($C85="App de domicilio",Instrucciones!$C$21,0)))))</f>
        <v>0</v>
      </c>
      <c r="L85" s="8">
        <f t="shared" si="6"/>
        <v>0</v>
      </c>
      <c r="M85" s="8">
        <f t="shared" si="7"/>
        <v>40000</v>
      </c>
      <c r="N85" s="8">
        <f>IFERROR($G85*INDEX(Menú!$E$5:$E$28,MATCH($E85,Menú!$A$5:$A$28,0)),"")</f>
        <v>8907.1999999999989</v>
      </c>
      <c r="O85" s="8">
        <f t="shared" si="8"/>
        <v>31092.800000000003</v>
      </c>
      <c r="P85" s="9">
        <f t="shared" si="9"/>
        <v>0.77732000000000012</v>
      </c>
    </row>
    <row r="86" spans="1:16" x14ac:dyDescent="0.3">
      <c r="A86" s="128">
        <v>46208</v>
      </c>
      <c r="B86" s="117" t="s">
        <v>93</v>
      </c>
      <c r="C86" s="117" t="s">
        <v>82</v>
      </c>
      <c r="D86" s="117" t="s">
        <v>98</v>
      </c>
      <c r="E86" s="117" t="s">
        <v>251</v>
      </c>
      <c r="F86" s="7" t="str">
        <f>IFERROR(INDEX(Menú!$B$5:$B$28,MATCH($E86,Menú!$A$5:$A$28,0)),"")</f>
        <v>Jugo natural en agua</v>
      </c>
      <c r="G86" s="129">
        <v>6</v>
      </c>
      <c r="H86" s="8">
        <f>IFERROR(INDEX(Menú!$D$5:$D$28,MATCH($E86,Menú!$A$5:$A$28,0)),"")</f>
        <v>8000</v>
      </c>
      <c r="I86" s="130">
        <v>0</v>
      </c>
      <c r="J86" s="8">
        <f t="shared" si="5"/>
        <v>48000</v>
      </c>
      <c r="K86" s="9">
        <f>IF($C86="",0,IF($C86="Salón",Instrucciones!$C$18,IF($C86="Para llevar",Instrucciones!$C$19,IF($C86="Domicilio propio",Instrucciones!$C$20,IF($C86="App de domicilio",Instrucciones!$C$21,0)))))</f>
        <v>0</v>
      </c>
      <c r="L86" s="8">
        <f t="shared" si="6"/>
        <v>0</v>
      </c>
      <c r="M86" s="8">
        <f t="shared" si="7"/>
        <v>48000</v>
      </c>
      <c r="N86" s="8">
        <f>IFERROR($G86*INDEX(Menú!$E$5:$E$28,MATCH($E86,Menú!$A$5:$A$28,0)),"")</f>
        <v>8718.0000000000018</v>
      </c>
      <c r="O86" s="8">
        <f t="shared" si="8"/>
        <v>39282</v>
      </c>
      <c r="P86" s="9">
        <f t="shared" si="9"/>
        <v>0.81837499999999996</v>
      </c>
    </row>
    <row r="87" spans="1:16" x14ac:dyDescent="0.3">
      <c r="A87" s="128">
        <v>46209</v>
      </c>
      <c r="B87" s="117" t="s">
        <v>91</v>
      </c>
      <c r="C87" s="117" t="s">
        <v>85</v>
      </c>
      <c r="D87" s="117" t="s">
        <v>100</v>
      </c>
      <c r="E87" s="117" t="s">
        <v>233</v>
      </c>
      <c r="F87" s="7" t="str">
        <f>IFERROR(INDEX(Menú!$B$5:$B$28,MATCH($E87,Menú!$A$5:$A$28,0)),"")</f>
        <v>Lomo al pimienta</v>
      </c>
      <c r="G87" s="129">
        <v>4</v>
      </c>
      <c r="H87" s="8">
        <f>IFERROR(INDEX(Menú!$D$5:$D$28,MATCH($E87,Menú!$A$5:$A$28,0)),"")</f>
        <v>48000</v>
      </c>
      <c r="I87" s="130">
        <v>0.15</v>
      </c>
      <c r="J87" s="8">
        <f t="shared" si="5"/>
        <v>163200</v>
      </c>
      <c r="K87" s="9">
        <f>IF($C87="",0,IF($C87="Salón",Instrucciones!$C$18,IF($C87="Para llevar",Instrucciones!$C$19,IF($C87="Domicilio propio",Instrucciones!$C$20,IF($C87="App de domicilio",Instrucciones!$C$21,0)))))</f>
        <v>0.22</v>
      </c>
      <c r="L87" s="8">
        <f t="shared" si="6"/>
        <v>35904</v>
      </c>
      <c r="M87" s="8">
        <f t="shared" si="7"/>
        <v>127296</v>
      </c>
      <c r="N87" s="8">
        <f>IFERROR($G87*INDEX(Menú!$E$5:$E$28,MATCH($E87,Menú!$A$5:$A$28,0)),"")</f>
        <v>63980.799999999996</v>
      </c>
      <c r="O87" s="8">
        <f t="shared" si="8"/>
        <v>63315.200000000004</v>
      </c>
      <c r="P87" s="9">
        <f t="shared" si="9"/>
        <v>0.49738562091503269</v>
      </c>
    </row>
    <row r="88" spans="1:16" x14ac:dyDescent="0.3">
      <c r="A88" s="128">
        <v>46209</v>
      </c>
      <c r="B88" s="117" t="s">
        <v>91</v>
      </c>
      <c r="C88" s="117" t="s">
        <v>84</v>
      </c>
      <c r="D88" s="117" t="s">
        <v>99</v>
      </c>
      <c r="E88" s="117" t="s">
        <v>244</v>
      </c>
      <c r="F88" s="7" t="str">
        <f>IFERROR(INDEX(Menú!$B$5:$B$28,MATCH($E88,Menú!$A$5:$A$28,0)),"")</f>
        <v>Ensalada César con pollo</v>
      </c>
      <c r="G88" s="129">
        <v>1</v>
      </c>
      <c r="H88" s="8">
        <f>IFERROR(INDEX(Menú!$D$5:$D$28,MATCH($E88,Menú!$A$5:$A$28,0)),"")</f>
        <v>26000</v>
      </c>
      <c r="I88" s="130">
        <v>0</v>
      </c>
      <c r="J88" s="8">
        <f t="shared" si="5"/>
        <v>26000</v>
      </c>
      <c r="K88" s="9">
        <f>IF($C88="",0,IF($C88="Salón",Instrucciones!$C$18,IF($C88="Para llevar",Instrucciones!$C$19,IF($C88="Domicilio propio",Instrucciones!$C$20,IF($C88="App de domicilio",Instrucciones!$C$21,0)))))</f>
        <v>0.06</v>
      </c>
      <c r="L88" s="8">
        <f t="shared" si="6"/>
        <v>1560</v>
      </c>
      <c r="M88" s="8">
        <f t="shared" si="7"/>
        <v>24440</v>
      </c>
      <c r="N88" s="8">
        <f>IFERROR($G88*INDEX(Menú!$E$5:$E$28,MATCH($E88,Menú!$A$5:$A$28,0)),"")</f>
        <v>8156.2</v>
      </c>
      <c r="O88" s="8">
        <f t="shared" si="8"/>
        <v>16283.8</v>
      </c>
      <c r="P88" s="9">
        <f t="shared" si="9"/>
        <v>0.66627659574468079</v>
      </c>
    </row>
    <row r="89" spans="1:16" x14ac:dyDescent="0.3">
      <c r="A89" s="128">
        <v>46209</v>
      </c>
      <c r="B89" s="117" t="s">
        <v>91</v>
      </c>
      <c r="C89" s="117" t="s">
        <v>82</v>
      </c>
      <c r="D89" s="117" t="s">
        <v>100</v>
      </c>
      <c r="E89" s="117" t="s">
        <v>253</v>
      </c>
      <c r="F89" s="7" t="str">
        <f>IFERROR(INDEX(Menú!$B$5:$B$28,MATCH($E89,Menú!$A$5:$A$28,0)),"")</f>
        <v>Café americano</v>
      </c>
      <c r="G89" s="129">
        <v>7</v>
      </c>
      <c r="H89" s="8">
        <f>IFERROR(INDEX(Menú!$D$5:$D$28,MATCH($E89,Menú!$A$5:$A$28,0)),"")</f>
        <v>4500</v>
      </c>
      <c r="I89" s="130">
        <v>0.1</v>
      </c>
      <c r="J89" s="8">
        <f t="shared" si="5"/>
        <v>28350</v>
      </c>
      <c r="K89" s="9">
        <f>IF($C89="",0,IF($C89="Salón",Instrucciones!$C$18,IF($C89="Para llevar",Instrucciones!$C$19,IF($C89="Domicilio propio",Instrucciones!$C$20,IF($C89="App de domicilio",Instrucciones!$C$21,0)))))</f>
        <v>0</v>
      </c>
      <c r="L89" s="8">
        <f t="shared" si="6"/>
        <v>0</v>
      </c>
      <c r="M89" s="8">
        <f t="shared" si="7"/>
        <v>28350</v>
      </c>
      <c r="N89" s="8">
        <f>IFERROR($G89*INDEX(Menú!$E$5:$E$28,MATCH($E89,Menú!$A$5:$A$28,0)),"")</f>
        <v>5429.2</v>
      </c>
      <c r="O89" s="8">
        <f t="shared" si="8"/>
        <v>22920.799999999999</v>
      </c>
      <c r="P89" s="9">
        <f t="shared" si="9"/>
        <v>0.80849382716049378</v>
      </c>
    </row>
    <row r="90" spans="1:16" x14ac:dyDescent="0.3">
      <c r="A90" s="128">
        <v>46209</v>
      </c>
      <c r="B90" s="117" t="s">
        <v>91</v>
      </c>
      <c r="C90" s="117" t="s">
        <v>85</v>
      </c>
      <c r="D90" s="117" t="s">
        <v>98</v>
      </c>
      <c r="E90" s="117" t="s">
        <v>254</v>
      </c>
      <c r="F90" s="7" t="str">
        <f>IFERROR(INDEX(Menú!$B$5:$B$28,MATCH($E90,Menú!$A$5:$A$28,0)),"")</f>
        <v>Postre de la casa</v>
      </c>
      <c r="G90" s="129">
        <v>3</v>
      </c>
      <c r="H90" s="8">
        <f>IFERROR(INDEX(Menú!$D$5:$D$28,MATCH($E90,Menú!$A$5:$A$28,0)),"")</f>
        <v>13000</v>
      </c>
      <c r="I90" s="130">
        <v>0</v>
      </c>
      <c r="J90" s="8">
        <f t="shared" si="5"/>
        <v>39000</v>
      </c>
      <c r="K90" s="9">
        <f>IF($C90="",0,IF($C90="Salón",Instrucciones!$C$18,IF($C90="Para llevar",Instrucciones!$C$19,IF($C90="Domicilio propio",Instrucciones!$C$20,IF($C90="App de domicilio",Instrucciones!$C$21,0)))))</f>
        <v>0.22</v>
      </c>
      <c r="L90" s="8">
        <f t="shared" si="6"/>
        <v>8580</v>
      </c>
      <c r="M90" s="8">
        <f t="shared" si="7"/>
        <v>30420</v>
      </c>
      <c r="N90" s="8">
        <f>IFERROR($G90*INDEX(Menú!$E$5:$E$28,MATCH($E90,Menú!$A$5:$A$28,0)),"")</f>
        <v>8236.0199999999986</v>
      </c>
      <c r="O90" s="8">
        <f t="shared" si="8"/>
        <v>22183.980000000003</v>
      </c>
      <c r="P90" s="9">
        <f t="shared" si="9"/>
        <v>0.72925641025641041</v>
      </c>
    </row>
    <row r="91" spans="1:16" x14ac:dyDescent="0.3">
      <c r="A91" s="128">
        <v>46209</v>
      </c>
      <c r="B91" s="117" t="s">
        <v>92</v>
      </c>
      <c r="C91" s="117" t="s">
        <v>85</v>
      </c>
      <c r="D91" s="117" t="s">
        <v>98</v>
      </c>
      <c r="E91" s="117" t="s">
        <v>232</v>
      </c>
      <c r="F91" s="7" t="str">
        <f>IFERROR(INDEX(Menú!$B$5:$B$28,MATCH($E91,Menú!$A$5:$A$28,0)),"")</f>
        <v>Pollo a la plancha</v>
      </c>
      <c r="G91" s="129">
        <v>5</v>
      </c>
      <c r="H91" s="8">
        <f>IFERROR(INDEX(Menú!$D$5:$D$28,MATCH($E91,Menú!$A$5:$A$28,0)),"")</f>
        <v>32000</v>
      </c>
      <c r="I91" s="130">
        <v>0</v>
      </c>
      <c r="J91" s="8">
        <f t="shared" si="5"/>
        <v>160000</v>
      </c>
      <c r="K91" s="9">
        <f>IF($C91="",0,IF($C91="Salón",Instrucciones!$C$18,IF($C91="Para llevar",Instrucciones!$C$19,IF($C91="Domicilio propio",Instrucciones!$C$20,IF($C91="App de domicilio",Instrucciones!$C$21,0)))))</f>
        <v>0.22</v>
      </c>
      <c r="L91" s="8">
        <f t="shared" si="6"/>
        <v>35200</v>
      </c>
      <c r="M91" s="8">
        <f t="shared" si="7"/>
        <v>124800</v>
      </c>
      <c r="N91" s="8">
        <f>IFERROR($G91*INDEX(Menú!$E$5:$E$28,MATCH($E91,Menú!$A$5:$A$28,0)),"")</f>
        <v>49001.500000000007</v>
      </c>
      <c r="O91" s="8">
        <f t="shared" si="8"/>
        <v>75798.5</v>
      </c>
      <c r="P91" s="9">
        <f t="shared" si="9"/>
        <v>0.60735977564102561</v>
      </c>
    </row>
    <row r="92" spans="1:16" x14ac:dyDescent="0.3">
      <c r="A92" s="128">
        <v>46209</v>
      </c>
      <c r="B92" s="117" t="s">
        <v>92</v>
      </c>
      <c r="C92" s="117" t="s">
        <v>85</v>
      </c>
      <c r="D92" s="117" t="s">
        <v>100</v>
      </c>
      <c r="E92" s="117" t="s">
        <v>240</v>
      </c>
      <c r="F92" s="7" t="str">
        <f>IFERROR(INDEX(Menú!$B$5:$B$28,MATCH($E92,Menú!$A$5:$A$28,0)),"")</f>
        <v>Tacos de pollo (3)</v>
      </c>
      <c r="G92" s="129">
        <v>3</v>
      </c>
      <c r="H92" s="8">
        <f>IFERROR(INDEX(Menú!$D$5:$D$28,MATCH($E92,Menú!$A$5:$A$28,0)),"")</f>
        <v>26000</v>
      </c>
      <c r="I92" s="130">
        <v>0</v>
      </c>
      <c r="J92" s="8">
        <f t="shared" si="5"/>
        <v>78000</v>
      </c>
      <c r="K92" s="9">
        <f>IF($C92="",0,IF($C92="Salón",Instrucciones!$C$18,IF($C92="Para llevar",Instrucciones!$C$19,IF($C92="Domicilio propio",Instrucciones!$C$20,IF($C92="App de domicilio",Instrucciones!$C$21,0)))))</f>
        <v>0.22</v>
      </c>
      <c r="L92" s="8">
        <f t="shared" si="6"/>
        <v>17160</v>
      </c>
      <c r="M92" s="8">
        <f t="shared" si="7"/>
        <v>60840</v>
      </c>
      <c r="N92" s="8">
        <f>IFERROR($G92*INDEX(Menú!$E$5:$E$28,MATCH($E92,Menú!$A$5:$A$28,0)),"")</f>
        <v>25588.200000000004</v>
      </c>
      <c r="O92" s="8">
        <f t="shared" si="8"/>
        <v>35251.799999999996</v>
      </c>
      <c r="P92" s="9">
        <f t="shared" si="9"/>
        <v>0.57941814595660746</v>
      </c>
    </row>
    <row r="93" spans="1:16" x14ac:dyDescent="0.3">
      <c r="A93" s="128">
        <v>46209</v>
      </c>
      <c r="B93" s="117" t="s">
        <v>92</v>
      </c>
      <c r="C93" s="117" t="s">
        <v>82</v>
      </c>
      <c r="D93" s="117" t="s">
        <v>98</v>
      </c>
      <c r="E93" s="117" t="s">
        <v>246</v>
      </c>
      <c r="F93" s="7" t="str">
        <f>IFERROR(INDEX(Menú!$B$5:$B$28,MATCH($E93,Menú!$A$5:$A$28,0)),"")</f>
        <v>Sopa del día</v>
      </c>
      <c r="G93" s="129">
        <v>2</v>
      </c>
      <c r="H93" s="8">
        <f>IFERROR(INDEX(Menú!$D$5:$D$28,MATCH($E93,Menú!$A$5:$A$28,0)),"")</f>
        <v>14000</v>
      </c>
      <c r="I93" s="130">
        <v>0</v>
      </c>
      <c r="J93" s="8">
        <f t="shared" si="5"/>
        <v>28000</v>
      </c>
      <c r="K93" s="9">
        <f>IF($C93="",0,IF($C93="Salón",Instrucciones!$C$18,IF($C93="Para llevar",Instrucciones!$C$19,IF($C93="Domicilio propio",Instrucciones!$C$20,IF($C93="App de domicilio",Instrucciones!$C$21,0)))))</f>
        <v>0</v>
      </c>
      <c r="L93" s="8">
        <f t="shared" si="6"/>
        <v>0</v>
      </c>
      <c r="M93" s="8">
        <f t="shared" si="7"/>
        <v>28000</v>
      </c>
      <c r="N93" s="8">
        <f>IFERROR($G93*INDEX(Menú!$E$5:$E$28,MATCH($E93,Menú!$A$5:$A$28,0)),"")</f>
        <v>7872.4</v>
      </c>
      <c r="O93" s="8">
        <f t="shared" si="8"/>
        <v>20127.599999999999</v>
      </c>
      <c r="P93" s="9">
        <f t="shared" si="9"/>
        <v>0.71884285714285712</v>
      </c>
    </row>
    <row r="94" spans="1:16" x14ac:dyDescent="0.3">
      <c r="A94" s="128">
        <v>46209</v>
      </c>
      <c r="B94" s="117" t="s">
        <v>93</v>
      </c>
      <c r="C94" s="117" t="s">
        <v>85</v>
      </c>
      <c r="D94" s="117" t="s">
        <v>100</v>
      </c>
      <c r="E94" s="117" t="s">
        <v>234</v>
      </c>
      <c r="F94" s="7" t="str">
        <f>IFERROR(INDEX(Menú!$B$5:$B$28,MATCH($E94,Menú!$A$5:$A$28,0)),"")</f>
        <v>Cerdo BBQ</v>
      </c>
      <c r="G94" s="129">
        <v>1</v>
      </c>
      <c r="H94" s="8">
        <f>IFERROR(INDEX(Menú!$D$5:$D$28,MATCH($E94,Menú!$A$5:$A$28,0)),"")</f>
        <v>38000</v>
      </c>
      <c r="I94" s="130">
        <v>0</v>
      </c>
      <c r="J94" s="8">
        <f t="shared" si="5"/>
        <v>38000</v>
      </c>
      <c r="K94" s="9">
        <f>IF($C94="",0,IF($C94="Salón",Instrucciones!$C$18,IF($C94="Para llevar",Instrucciones!$C$19,IF($C94="Domicilio propio",Instrucciones!$C$20,IF($C94="App de domicilio",Instrucciones!$C$21,0)))))</f>
        <v>0.22</v>
      </c>
      <c r="L94" s="8">
        <f t="shared" si="6"/>
        <v>8360</v>
      </c>
      <c r="M94" s="8">
        <f t="shared" si="7"/>
        <v>29640</v>
      </c>
      <c r="N94" s="8">
        <f>IFERROR($G94*INDEX(Menú!$E$5:$E$28,MATCH($E94,Menú!$A$5:$A$28,0)),"")</f>
        <v>13368</v>
      </c>
      <c r="O94" s="8">
        <f t="shared" si="8"/>
        <v>16272</v>
      </c>
      <c r="P94" s="9">
        <f t="shared" si="9"/>
        <v>0.54898785425101215</v>
      </c>
    </row>
    <row r="95" spans="1:16" x14ac:dyDescent="0.3">
      <c r="A95" s="128">
        <v>46209</v>
      </c>
      <c r="B95" s="117" t="s">
        <v>93</v>
      </c>
      <c r="C95" s="117" t="s">
        <v>85</v>
      </c>
      <c r="D95" s="117" t="s">
        <v>98</v>
      </c>
      <c r="E95" s="117" t="s">
        <v>238</v>
      </c>
      <c r="F95" s="7" t="str">
        <f>IFERROR(INDEX(Menú!$B$5:$B$28,MATCH($E95,Menú!$A$5:$A$28,0)),"")</f>
        <v>Hamburguesa clásica</v>
      </c>
      <c r="G95" s="129">
        <v>2</v>
      </c>
      <c r="H95" s="8">
        <f>IFERROR(INDEX(Menú!$D$5:$D$28,MATCH($E95,Menú!$A$5:$A$28,0)),"")</f>
        <v>28000</v>
      </c>
      <c r="I95" s="130">
        <v>0</v>
      </c>
      <c r="J95" s="8">
        <f t="shared" si="5"/>
        <v>56000</v>
      </c>
      <c r="K95" s="9">
        <f>IF($C95="",0,IF($C95="Salón",Instrucciones!$C$18,IF($C95="Para llevar",Instrucciones!$C$19,IF($C95="Domicilio propio",Instrucciones!$C$20,IF($C95="App de domicilio",Instrucciones!$C$21,0)))))</f>
        <v>0.22</v>
      </c>
      <c r="L95" s="8">
        <f t="shared" si="6"/>
        <v>12320</v>
      </c>
      <c r="M95" s="8">
        <f t="shared" si="7"/>
        <v>43680</v>
      </c>
      <c r="N95" s="8">
        <f>IFERROR($G95*INDEX(Menú!$E$5:$E$28,MATCH($E95,Menú!$A$5:$A$28,0)),"")</f>
        <v>19317.600000000002</v>
      </c>
      <c r="O95" s="8">
        <f t="shared" si="8"/>
        <v>24362.399999999998</v>
      </c>
      <c r="P95" s="9">
        <f t="shared" si="9"/>
        <v>0.55774725274725268</v>
      </c>
    </row>
    <row r="96" spans="1:16" x14ac:dyDescent="0.3">
      <c r="A96" s="128">
        <v>46209</v>
      </c>
      <c r="B96" s="117" t="s">
        <v>93</v>
      </c>
      <c r="C96" s="117" t="s">
        <v>82</v>
      </c>
      <c r="D96" s="117" t="s">
        <v>98</v>
      </c>
      <c r="E96" s="117" t="s">
        <v>240</v>
      </c>
      <c r="F96" s="7" t="str">
        <f>IFERROR(INDEX(Menú!$B$5:$B$28,MATCH($E96,Menú!$A$5:$A$28,0)),"")</f>
        <v>Tacos de pollo (3)</v>
      </c>
      <c r="G96" s="129">
        <v>1</v>
      </c>
      <c r="H96" s="8">
        <f>IFERROR(INDEX(Menú!$D$5:$D$28,MATCH($E96,Menú!$A$5:$A$28,0)),"")</f>
        <v>26000</v>
      </c>
      <c r="I96" s="130">
        <v>0</v>
      </c>
      <c r="J96" s="8">
        <f t="shared" si="5"/>
        <v>26000</v>
      </c>
      <c r="K96" s="9">
        <f>IF($C96="",0,IF($C96="Salón",Instrucciones!$C$18,IF($C96="Para llevar",Instrucciones!$C$19,IF($C96="Domicilio propio",Instrucciones!$C$20,IF($C96="App de domicilio",Instrucciones!$C$21,0)))))</f>
        <v>0</v>
      </c>
      <c r="L96" s="8">
        <f t="shared" si="6"/>
        <v>0</v>
      </c>
      <c r="M96" s="8">
        <f t="shared" si="7"/>
        <v>26000</v>
      </c>
      <c r="N96" s="8">
        <f>IFERROR($G96*INDEX(Menú!$E$5:$E$28,MATCH($E96,Menú!$A$5:$A$28,0)),"")</f>
        <v>8529.4000000000015</v>
      </c>
      <c r="O96" s="8">
        <f t="shared" si="8"/>
        <v>17470.599999999999</v>
      </c>
      <c r="P96" s="9">
        <f t="shared" si="9"/>
        <v>0.67194615384615375</v>
      </c>
    </row>
    <row r="97" spans="1:16" x14ac:dyDescent="0.3">
      <c r="A97" s="128">
        <v>46209</v>
      </c>
      <c r="B97" s="117" t="s">
        <v>93</v>
      </c>
      <c r="C97" s="117" t="s">
        <v>85</v>
      </c>
      <c r="D97" s="117" t="s">
        <v>100</v>
      </c>
      <c r="E97" s="117" t="s">
        <v>242</v>
      </c>
      <c r="F97" s="7" t="str">
        <f>IFERROR(INDEX(Menú!$B$5:$B$28,MATCH($E97,Menú!$A$5:$A$28,0)),"")</f>
        <v>Salchipapa</v>
      </c>
      <c r="G97" s="129">
        <v>4</v>
      </c>
      <c r="H97" s="8">
        <f>IFERROR(INDEX(Menú!$D$5:$D$28,MATCH($E97,Menú!$A$5:$A$28,0)),"")</f>
        <v>22000</v>
      </c>
      <c r="I97" s="130">
        <v>0</v>
      </c>
      <c r="J97" s="8">
        <f t="shared" si="5"/>
        <v>88000</v>
      </c>
      <c r="K97" s="9">
        <f>IF($C97="",0,IF($C97="Salón",Instrucciones!$C$18,IF($C97="Para llevar",Instrucciones!$C$19,IF($C97="Domicilio propio",Instrucciones!$C$20,IF($C97="App de domicilio",Instrucciones!$C$21,0)))))</f>
        <v>0.22</v>
      </c>
      <c r="L97" s="8">
        <f t="shared" si="6"/>
        <v>19360</v>
      </c>
      <c r="M97" s="8">
        <f t="shared" si="7"/>
        <v>68640</v>
      </c>
      <c r="N97" s="8">
        <f>IFERROR($G97*INDEX(Menú!$E$5:$E$28,MATCH($E97,Menú!$A$5:$A$28,0)),"")</f>
        <v>25747.199999999997</v>
      </c>
      <c r="O97" s="8">
        <f t="shared" si="8"/>
        <v>42892.800000000003</v>
      </c>
      <c r="P97" s="9">
        <f t="shared" si="9"/>
        <v>0.62489510489510491</v>
      </c>
    </row>
    <row r="98" spans="1:16" x14ac:dyDescent="0.3">
      <c r="A98" s="128">
        <v>46209</v>
      </c>
      <c r="B98" s="117" t="s">
        <v>93</v>
      </c>
      <c r="C98" s="117" t="s">
        <v>82</v>
      </c>
      <c r="D98" s="117" t="s">
        <v>98</v>
      </c>
      <c r="E98" s="117" t="s">
        <v>250</v>
      </c>
      <c r="F98" s="7" t="str">
        <f>IFERROR(INDEX(Menú!$B$5:$B$28,MATCH($E98,Menú!$A$5:$A$28,0)),"")</f>
        <v>Gaseosa personal</v>
      </c>
      <c r="G98" s="129">
        <v>7</v>
      </c>
      <c r="H98" s="8">
        <f>IFERROR(INDEX(Menú!$D$5:$D$28,MATCH($E98,Menú!$A$5:$A$28,0)),"")</f>
        <v>5000</v>
      </c>
      <c r="I98" s="130">
        <v>0</v>
      </c>
      <c r="J98" s="8">
        <f t="shared" si="5"/>
        <v>35000</v>
      </c>
      <c r="K98" s="9">
        <f>IF($C98="",0,IF($C98="Salón",Instrucciones!$C$18,IF($C98="Para llevar",Instrucciones!$C$19,IF($C98="Domicilio propio",Instrucciones!$C$20,IF($C98="App de domicilio",Instrucciones!$C$21,0)))))</f>
        <v>0</v>
      </c>
      <c r="L98" s="8">
        <f t="shared" si="6"/>
        <v>0</v>
      </c>
      <c r="M98" s="8">
        <f t="shared" si="7"/>
        <v>35000</v>
      </c>
      <c r="N98" s="8">
        <f>IFERROR($G98*INDEX(Menú!$E$5:$E$28,MATCH($E98,Menú!$A$5:$A$28,0)),"")</f>
        <v>7793.7999999999993</v>
      </c>
      <c r="O98" s="8">
        <f t="shared" si="8"/>
        <v>27206.2</v>
      </c>
      <c r="P98" s="9">
        <f t="shared" si="9"/>
        <v>0.77732000000000001</v>
      </c>
    </row>
    <row r="99" spans="1:16" x14ac:dyDescent="0.3">
      <c r="A99" s="128">
        <v>46210</v>
      </c>
      <c r="B99" s="117" t="s">
        <v>91</v>
      </c>
      <c r="C99" s="117" t="s">
        <v>82</v>
      </c>
      <c r="D99" s="117" t="s">
        <v>98</v>
      </c>
      <c r="E99" s="117" t="s">
        <v>234</v>
      </c>
      <c r="F99" s="7" t="str">
        <f>IFERROR(INDEX(Menú!$B$5:$B$28,MATCH($E99,Menú!$A$5:$A$28,0)),"")</f>
        <v>Cerdo BBQ</v>
      </c>
      <c r="G99" s="129">
        <v>8</v>
      </c>
      <c r="H99" s="8">
        <f>IFERROR(INDEX(Menú!$D$5:$D$28,MATCH($E99,Menú!$A$5:$A$28,0)),"")</f>
        <v>38000</v>
      </c>
      <c r="I99" s="130">
        <v>0</v>
      </c>
      <c r="J99" s="8">
        <f t="shared" si="5"/>
        <v>304000</v>
      </c>
      <c r="K99" s="9">
        <f>IF($C99="",0,IF($C99="Salón",Instrucciones!$C$18,IF($C99="Para llevar",Instrucciones!$C$19,IF($C99="Domicilio propio",Instrucciones!$C$20,IF($C99="App de domicilio",Instrucciones!$C$21,0)))))</f>
        <v>0</v>
      </c>
      <c r="L99" s="8">
        <f t="shared" si="6"/>
        <v>0</v>
      </c>
      <c r="M99" s="8">
        <f t="shared" si="7"/>
        <v>304000</v>
      </c>
      <c r="N99" s="8">
        <f>IFERROR($G99*INDEX(Menú!$E$5:$E$28,MATCH($E99,Menú!$A$5:$A$28,0)),"")</f>
        <v>106944</v>
      </c>
      <c r="O99" s="8">
        <f t="shared" si="8"/>
        <v>197056</v>
      </c>
      <c r="P99" s="9">
        <f t="shared" si="9"/>
        <v>0.64821052631578946</v>
      </c>
    </row>
    <row r="100" spans="1:16" x14ac:dyDescent="0.3">
      <c r="A100" s="128">
        <v>46210</v>
      </c>
      <c r="B100" s="117" t="s">
        <v>91</v>
      </c>
      <c r="C100" s="117" t="s">
        <v>85</v>
      </c>
      <c r="D100" s="117" t="s">
        <v>97</v>
      </c>
      <c r="E100" s="117" t="s">
        <v>236</v>
      </c>
      <c r="F100" s="7" t="str">
        <f>IFERROR(INDEX(Menú!$B$5:$B$28,MATCH($E100,Menú!$A$5:$A$28,0)),"")</f>
        <v>Arroz con camarón</v>
      </c>
      <c r="G100" s="129">
        <v>3</v>
      </c>
      <c r="H100" s="8">
        <f>IFERROR(INDEX(Menú!$D$5:$D$28,MATCH($E100,Menú!$A$5:$A$28,0)),"")</f>
        <v>52000</v>
      </c>
      <c r="I100" s="130">
        <v>0</v>
      </c>
      <c r="J100" s="8">
        <f t="shared" si="5"/>
        <v>156000</v>
      </c>
      <c r="K100" s="9">
        <f>IF($C100="",0,IF($C100="Salón",Instrucciones!$C$18,IF($C100="Para llevar",Instrucciones!$C$19,IF($C100="Domicilio propio",Instrucciones!$C$20,IF($C100="App de domicilio",Instrucciones!$C$21,0)))))</f>
        <v>0.22</v>
      </c>
      <c r="L100" s="8">
        <f t="shared" si="6"/>
        <v>34320</v>
      </c>
      <c r="M100" s="8">
        <f t="shared" si="7"/>
        <v>121680</v>
      </c>
      <c r="N100" s="8">
        <f>IFERROR($G100*INDEX(Menú!$E$5:$E$28,MATCH($E100,Menú!$A$5:$A$28,0)),"")</f>
        <v>54273.3</v>
      </c>
      <c r="O100" s="8">
        <f t="shared" si="8"/>
        <v>67406.7</v>
      </c>
      <c r="P100" s="9">
        <f t="shared" si="9"/>
        <v>0.55396696252465483</v>
      </c>
    </row>
    <row r="101" spans="1:16" x14ac:dyDescent="0.3">
      <c r="A101" s="128">
        <v>46210</v>
      </c>
      <c r="B101" s="117" t="s">
        <v>91</v>
      </c>
      <c r="C101" s="117" t="s">
        <v>85</v>
      </c>
      <c r="D101" s="117" t="s">
        <v>99</v>
      </c>
      <c r="E101" s="117" t="s">
        <v>237</v>
      </c>
      <c r="F101" s="7" t="str">
        <f>IFERROR(INDEX(Menú!$B$5:$B$28,MATCH($E101,Menú!$A$5:$A$28,0)),"")</f>
        <v>Bandeja de la casa</v>
      </c>
      <c r="G101" s="129">
        <v>6</v>
      </c>
      <c r="H101" s="8">
        <f>IFERROR(INDEX(Menú!$D$5:$D$28,MATCH($E101,Menú!$A$5:$A$28,0)),"")</f>
        <v>45000</v>
      </c>
      <c r="I101" s="130">
        <v>0</v>
      </c>
      <c r="J101" s="8">
        <f t="shared" si="5"/>
        <v>270000</v>
      </c>
      <c r="K101" s="9">
        <f>IF($C101="",0,IF($C101="Salón",Instrucciones!$C$18,IF($C101="Para llevar",Instrucciones!$C$19,IF($C101="Domicilio propio",Instrucciones!$C$20,IF($C101="App de domicilio",Instrucciones!$C$21,0)))))</f>
        <v>0.22</v>
      </c>
      <c r="L101" s="8">
        <f t="shared" si="6"/>
        <v>59400</v>
      </c>
      <c r="M101" s="8">
        <f t="shared" si="7"/>
        <v>210600</v>
      </c>
      <c r="N101" s="8">
        <f>IFERROR($G101*INDEX(Menú!$E$5:$E$28,MATCH($E101,Menú!$A$5:$A$28,0)),"")</f>
        <v>87351.239999999991</v>
      </c>
      <c r="O101" s="8">
        <f t="shared" si="8"/>
        <v>123248.76000000001</v>
      </c>
      <c r="P101" s="9">
        <f t="shared" si="9"/>
        <v>0.58522678062678068</v>
      </c>
    </row>
    <row r="102" spans="1:16" x14ac:dyDescent="0.3">
      <c r="A102" s="128">
        <v>46210</v>
      </c>
      <c r="B102" s="117" t="s">
        <v>91</v>
      </c>
      <c r="C102" s="117" t="s">
        <v>83</v>
      </c>
      <c r="D102" s="117" t="s">
        <v>98</v>
      </c>
      <c r="E102" s="117" t="s">
        <v>238</v>
      </c>
      <c r="F102" s="7" t="str">
        <f>IFERROR(INDEX(Menú!$B$5:$B$28,MATCH($E102,Menú!$A$5:$A$28,0)),"")</f>
        <v>Hamburguesa clásica</v>
      </c>
      <c r="G102" s="129">
        <v>4</v>
      </c>
      <c r="H102" s="8">
        <f>IFERROR(INDEX(Menú!$D$5:$D$28,MATCH($E102,Menú!$A$5:$A$28,0)),"")</f>
        <v>28000</v>
      </c>
      <c r="I102" s="130">
        <v>0.15</v>
      </c>
      <c r="J102" s="8">
        <f t="shared" si="5"/>
        <v>95200</v>
      </c>
      <c r="K102" s="9">
        <f>IF($C102="",0,IF($C102="Salón",Instrucciones!$C$18,IF($C102="Para llevar",Instrucciones!$C$19,IF($C102="Domicilio propio",Instrucciones!$C$20,IF($C102="App de domicilio",Instrucciones!$C$21,0)))))</f>
        <v>0</v>
      </c>
      <c r="L102" s="8">
        <f t="shared" si="6"/>
        <v>0</v>
      </c>
      <c r="M102" s="8">
        <f t="shared" si="7"/>
        <v>95200</v>
      </c>
      <c r="N102" s="8">
        <f>IFERROR($G102*INDEX(Menú!$E$5:$E$28,MATCH($E102,Menú!$A$5:$A$28,0)),"")</f>
        <v>38635.200000000004</v>
      </c>
      <c r="O102" s="8">
        <f t="shared" si="8"/>
        <v>56564.799999999996</v>
      </c>
      <c r="P102" s="9">
        <f t="shared" si="9"/>
        <v>0.59416806722689075</v>
      </c>
    </row>
    <row r="103" spans="1:16" x14ac:dyDescent="0.3">
      <c r="A103" s="128">
        <v>46210</v>
      </c>
      <c r="B103" s="117" t="s">
        <v>91</v>
      </c>
      <c r="C103" s="117" t="s">
        <v>82</v>
      </c>
      <c r="D103" s="117" t="s">
        <v>99</v>
      </c>
      <c r="E103" s="117" t="s">
        <v>239</v>
      </c>
      <c r="F103" s="7" t="str">
        <f>IFERROR(INDEX(Menú!$B$5:$B$28,MATCH($E103,Menú!$A$5:$A$28,0)),"")</f>
        <v>Hamburguesa doble</v>
      </c>
      <c r="G103" s="129">
        <v>3</v>
      </c>
      <c r="H103" s="8">
        <f>IFERROR(INDEX(Menú!$D$5:$D$28,MATCH($E103,Menú!$A$5:$A$28,0)),"")</f>
        <v>36000</v>
      </c>
      <c r="I103" s="130">
        <v>0</v>
      </c>
      <c r="J103" s="8">
        <f t="shared" si="5"/>
        <v>108000</v>
      </c>
      <c r="K103" s="9">
        <f>IF($C103="",0,IF($C103="Salón",Instrucciones!$C$18,IF($C103="Para llevar",Instrucciones!$C$19,IF($C103="Domicilio propio",Instrucciones!$C$20,IF($C103="App de domicilio",Instrucciones!$C$21,0)))))</f>
        <v>0</v>
      </c>
      <c r="L103" s="8">
        <f t="shared" si="6"/>
        <v>0</v>
      </c>
      <c r="M103" s="8">
        <f t="shared" si="7"/>
        <v>108000</v>
      </c>
      <c r="N103" s="8">
        <f>IFERROR($G103*INDEX(Menú!$E$5:$E$28,MATCH($E103,Menú!$A$5:$A$28,0)),"")</f>
        <v>33105.600000000006</v>
      </c>
      <c r="O103" s="8">
        <f t="shared" si="8"/>
        <v>74894.399999999994</v>
      </c>
      <c r="P103" s="9">
        <f t="shared" si="9"/>
        <v>0.69346666666666656</v>
      </c>
    </row>
    <row r="104" spans="1:16" ht="15" thickBot="1" x14ac:dyDescent="0.35">
      <c r="A104" s="131">
        <v>46210</v>
      </c>
      <c r="B104" s="132" t="s">
        <v>91</v>
      </c>
      <c r="C104" s="132" t="s">
        <v>82</v>
      </c>
      <c r="D104" s="132" t="s">
        <v>98</v>
      </c>
      <c r="E104" s="132" t="s">
        <v>248</v>
      </c>
      <c r="F104" s="10" t="str">
        <f>IFERROR(INDEX(Menú!$B$5:$B$28,MATCH($E104,Menú!$A$5:$A$28,0)),"")</f>
        <v>Yuca frita</v>
      </c>
      <c r="G104" s="133">
        <v>5</v>
      </c>
      <c r="H104" s="11">
        <f>IFERROR(INDEX(Menú!$D$5:$D$28,MATCH($E104,Menú!$A$5:$A$28,0)),"")</f>
        <v>12000</v>
      </c>
      <c r="I104" s="134">
        <v>0</v>
      </c>
      <c r="J104" s="11">
        <f t="shared" si="5"/>
        <v>60000</v>
      </c>
      <c r="K104" s="12">
        <f>IF($C104="",0,IF($C104="Salón",Instrucciones!$C$18,IF($C104="Para llevar",Instrucciones!$C$19,IF($C104="Domicilio propio",Instrucciones!$C$20,IF($C104="App de domicilio",Instrucciones!$C$21,0)))))</f>
        <v>0</v>
      </c>
      <c r="L104" s="11">
        <f t="shared" si="6"/>
        <v>0</v>
      </c>
      <c r="M104" s="11">
        <f t="shared" si="7"/>
        <v>60000</v>
      </c>
      <c r="N104" s="11">
        <f>IFERROR($G104*INDEX(Menú!$E$5:$E$28,MATCH($E104,Menú!$A$5:$A$28,0)),"")</f>
        <v>15344.5</v>
      </c>
      <c r="O104" s="11">
        <f t="shared" si="8"/>
        <v>44655.5</v>
      </c>
      <c r="P104" s="12">
        <f t="shared" si="9"/>
        <v>0.74425833333333336</v>
      </c>
    </row>
  </sheetData>
  <sheetProtection sheet="1" objects="1" scenarios="1" formatCells="0" formatColumns="0" formatRows="0" insertRows="0" deleteRows="0" sort="0" autoFilter="0" pivotTables="0"/>
  <mergeCells count="2">
    <mergeCell ref="A1:P1"/>
    <mergeCell ref="A2:P2"/>
  </mergeCells>
  <dataValidations count="2">
    <dataValidation type="list" allowBlank="1" sqref="C5:C104" xr:uid="{00000000-0002-0000-0600-000000000000}">
      <formula1>"Salón,Para llevar,Domicilio propio,App de domicilio"</formula1>
      <formula2>0</formula2>
    </dataValidation>
    <dataValidation type="list" allowBlank="1" sqref="D5:D104" xr:uid="{00000000-0002-0000-0600-000001000000}">
      <formula1>"Desayuno,Almuerzo,Tarde,Cena,Trasnocho"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D35"/>
  <sheetViews>
    <sheetView showGridLines="0" workbookViewId="0">
      <selection activeCell="H20" sqref="H20"/>
    </sheetView>
  </sheetViews>
  <sheetFormatPr baseColWidth="10" defaultColWidth="8.88671875" defaultRowHeight="14.4" x14ac:dyDescent="0.3"/>
  <cols>
    <col min="1" max="1" width="3" style="4" customWidth="1"/>
    <col min="2" max="2" width="26" style="4" customWidth="1"/>
    <col min="3" max="3" width="66" style="4" customWidth="1"/>
    <col min="4" max="4" width="18" style="4" customWidth="1"/>
    <col min="5" max="5" width="4" style="4" customWidth="1"/>
    <col min="6" max="6" width="8.88671875" style="4" customWidth="1"/>
    <col min="7" max="16384" width="8.88671875" style="4"/>
  </cols>
  <sheetData>
    <row r="1" spans="2:4" ht="30" customHeight="1" x14ac:dyDescent="0.3">
      <c r="B1" s="183" t="s">
        <v>0</v>
      </c>
      <c r="C1" s="171"/>
      <c r="D1" s="171"/>
    </row>
    <row r="2" spans="2:4" ht="15" customHeight="1" x14ac:dyDescent="0.3">
      <c r="B2" s="187" t="s">
        <v>1</v>
      </c>
      <c r="C2" s="171"/>
      <c r="D2" s="171"/>
    </row>
    <row r="3" spans="2:4" x14ac:dyDescent="0.3">
      <c r="B3" s="43"/>
      <c r="C3" s="43"/>
      <c r="D3" s="43"/>
    </row>
    <row r="4" spans="2:4" ht="15" customHeight="1" x14ac:dyDescent="0.3">
      <c r="B4" s="188" t="s">
        <v>2</v>
      </c>
      <c r="C4" s="189"/>
      <c r="D4" s="189"/>
    </row>
    <row r="5" spans="2:4" ht="15" customHeight="1" x14ac:dyDescent="0.3">
      <c r="B5" s="189"/>
      <c r="C5" s="189"/>
      <c r="D5" s="189"/>
    </row>
    <row r="6" spans="2:4" ht="15" customHeight="1" x14ac:dyDescent="0.3">
      <c r="B6" s="189"/>
      <c r="C6" s="189"/>
      <c r="D6" s="189"/>
    </row>
    <row r="7" spans="2:4" ht="15" customHeight="1" x14ac:dyDescent="0.3">
      <c r="B7" s="189"/>
      <c r="C7" s="189"/>
      <c r="D7" s="189"/>
    </row>
    <row r="8" spans="2:4" ht="15" customHeight="1" x14ac:dyDescent="0.3">
      <c r="B8" s="189"/>
      <c r="C8" s="189"/>
      <c r="D8" s="189"/>
    </row>
    <row r="9" spans="2:4" ht="15" customHeight="1" x14ac:dyDescent="0.3">
      <c r="B9" s="189"/>
      <c r="C9" s="189"/>
      <c r="D9" s="189"/>
    </row>
    <row r="10" spans="2:4" ht="15" customHeight="1" x14ac:dyDescent="0.3">
      <c r="B10" s="189"/>
      <c r="C10" s="189"/>
      <c r="D10" s="189"/>
    </row>
    <row r="11" spans="2:4" x14ac:dyDescent="0.3">
      <c r="B11" s="43"/>
      <c r="C11" s="43"/>
      <c r="D11" s="43"/>
    </row>
    <row r="12" spans="2:4" ht="15" customHeight="1" x14ac:dyDescent="0.3">
      <c r="B12" s="135" t="s">
        <v>3</v>
      </c>
      <c r="C12" s="43"/>
      <c r="D12" s="43"/>
    </row>
    <row r="13" spans="2:4" ht="17.399999999999999" customHeight="1" x14ac:dyDescent="0.3">
      <c r="B13" s="136" t="s">
        <v>4</v>
      </c>
      <c r="C13" s="182" t="s">
        <v>5</v>
      </c>
      <c r="D13" s="171"/>
    </row>
    <row r="14" spans="2:4" ht="17.399999999999999" customHeight="1" x14ac:dyDescent="0.3">
      <c r="B14" s="136" t="s">
        <v>4</v>
      </c>
      <c r="C14" s="182" t="s">
        <v>6</v>
      </c>
      <c r="D14" s="171"/>
    </row>
    <row r="15" spans="2:4" ht="17.399999999999999" customHeight="1" x14ac:dyDescent="0.3">
      <c r="B15" s="136" t="s">
        <v>4</v>
      </c>
      <c r="C15" s="182" t="s">
        <v>7</v>
      </c>
      <c r="D15" s="171"/>
    </row>
    <row r="16" spans="2:4" ht="17.399999999999999" customHeight="1" x14ac:dyDescent="0.3">
      <c r="B16" s="136" t="s">
        <v>4</v>
      </c>
      <c r="C16" s="182" t="s">
        <v>8</v>
      </c>
      <c r="D16" s="171"/>
    </row>
    <row r="17" spans="2:4" ht="17.399999999999999" customHeight="1" x14ac:dyDescent="0.3">
      <c r="B17" s="136" t="s">
        <v>4</v>
      </c>
      <c r="C17" s="182" t="s">
        <v>9</v>
      </c>
      <c r="D17" s="171"/>
    </row>
    <row r="18" spans="2:4" ht="17.399999999999999" customHeight="1" x14ac:dyDescent="0.3">
      <c r="B18" s="136" t="s">
        <v>4</v>
      </c>
      <c r="C18" s="182" t="s">
        <v>10</v>
      </c>
      <c r="D18" s="171"/>
    </row>
    <row r="19" spans="2:4" x14ac:dyDescent="0.3">
      <c r="B19" s="43"/>
      <c r="C19" s="43"/>
      <c r="D19" s="43"/>
    </row>
    <row r="20" spans="2:4" ht="15" customHeight="1" x14ac:dyDescent="0.3">
      <c r="B20" s="135" t="s">
        <v>11</v>
      </c>
      <c r="C20" s="43"/>
      <c r="D20" s="43"/>
    </row>
    <row r="21" spans="2:4" ht="24" customHeight="1" x14ac:dyDescent="0.3">
      <c r="B21" s="137" t="s">
        <v>12</v>
      </c>
      <c r="C21" s="137" t="s">
        <v>13</v>
      </c>
      <c r="D21" s="137" t="s">
        <v>14</v>
      </c>
    </row>
    <row r="22" spans="2:4" ht="42.45" customHeight="1" x14ac:dyDescent="0.3">
      <c r="B22" s="138" t="s">
        <v>15</v>
      </c>
      <c r="C22" s="139" t="s">
        <v>16</v>
      </c>
      <c r="D22" s="140" t="s">
        <v>17</v>
      </c>
    </row>
    <row r="23" spans="2:4" ht="30" customHeight="1" x14ac:dyDescent="0.3">
      <c r="B23" s="138" t="s">
        <v>18</v>
      </c>
      <c r="C23" s="139" t="s">
        <v>19</v>
      </c>
      <c r="D23" s="140" t="s">
        <v>17</v>
      </c>
    </row>
    <row r="24" spans="2:4" ht="30" customHeight="1" x14ac:dyDescent="0.3">
      <c r="B24" s="138" t="s">
        <v>20</v>
      </c>
      <c r="C24" s="139" t="s">
        <v>21</v>
      </c>
      <c r="D24" s="140" t="s">
        <v>17</v>
      </c>
    </row>
    <row r="25" spans="2:4" ht="42.45" customHeight="1" x14ac:dyDescent="0.3">
      <c r="B25" s="138" t="s">
        <v>22</v>
      </c>
      <c r="C25" s="139" t="s">
        <v>23</v>
      </c>
      <c r="D25" s="140" t="s">
        <v>17</v>
      </c>
    </row>
    <row r="26" spans="2:4" ht="30" customHeight="1" x14ac:dyDescent="0.3">
      <c r="B26" s="138" t="s">
        <v>24</v>
      </c>
      <c r="C26" s="139" t="s">
        <v>25</v>
      </c>
      <c r="D26" s="140" t="s">
        <v>26</v>
      </c>
    </row>
    <row r="27" spans="2:4" ht="30" customHeight="1" x14ac:dyDescent="0.3">
      <c r="B27" s="138" t="s">
        <v>27</v>
      </c>
      <c r="C27" s="139" t="s">
        <v>28</v>
      </c>
      <c r="D27" s="140" t="s">
        <v>29</v>
      </c>
    </row>
    <row r="28" spans="2:4" ht="30" customHeight="1" x14ac:dyDescent="0.3">
      <c r="B28" s="138" t="s">
        <v>30</v>
      </c>
      <c r="C28" s="139" t="s">
        <v>31</v>
      </c>
      <c r="D28" s="140" t="s">
        <v>32</v>
      </c>
    </row>
    <row r="29" spans="2:4" ht="30" customHeight="1" x14ac:dyDescent="0.3">
      <c r="B29" s="138" t="s">
        <v>33</v>
      </c>
      <c r="C29" s="139" t="s">
        <v>34</v>
      </c>
      <c r="D29" s="140" t="s">
        <v>32</v>
      </c>
    </row>
    <row r="30" spans="2:4" x14ac:dyDescent="0.3">
      <c r="B30" s="43"/>
      <c r="C30" s="43"/>
      <c r="D30" s="43"/>
    </row>
    <row r="31" spans="2:4" ht="15" customHeight="1" x14ac:dyDescent="0.3">
      <c r="B31" s="184" t="s">
        <v>320</v>
      </c>
      <c r="C31" s="185"/>
      <c r="D31" s="185"/>
    </row>
    <row r="32" spans="2:4" ht="15" customHeight="1" x14ac:dyDescent="0.3">
      <c r="B32" s="185"/>
      <c r="C32" s="185"/>
      <c r="D32" s="185"/>
    </row>
    <row r="33" spans="2:4" ht="15" customHeight="1" x14ac:dyDescent="0.3">
      <c r="B33" s="185"/>
      <c r="C33" s="185"/>
      <c r="D33" s="185"/>
    </row>
    <row r="34" spans="2:4" x14ac:dyDescent="0.3">
      <c r="B34" s="43"/>
      <c r="C34" s="43"/>
      <c r="D34" s="43"/>
    </row>
    <row r="35" spans="2:4" x14ac:dyDescent="0.3">
      <c r="B35" s="186" t="s">
        <v>35</v>
      </c>
      <c r="C35" s="171"/>
      <c r="D35" s="171"/>
    </row>
  </sheetData>
  <sheetProtection sheet="1" objects="1" scenarios="1" formatCells="0" formatColumns="0" formatRows="0" insertRows="0" deleteRows="0" sort="0" autoFilter="0" pivotTables="0"/>
  <mergeCells count="11">
    <mergeCell ref="C16:D16"/>
    <mergeCell ref="C15:D15"/>
    <mergeCell ref="B1:D1"/>
    <mergeCell ref="B31:D33"/>
    <mergeCell ref="B35:D35"/>
    <mergeCell ref="C14:D14"/>
    <mergeCell ref="C13:D13"/>
    <mergeCell ref="C18:D18"/>
    <mergeCell ref="C17:D17"/>
    <mergeCell ref="B2:D2"/>
    <mergeCell ref="B4:D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Tablero</vt:lpstr>
      <vt:lpstr>Instrucciones</vt:lpstr>
      <vt:lpstr>Sedes</vt:lpstr>
      <vt:lpstr>Insumos</vt:lpstr>
      <vt:lpstr>Recetas</vt:lpstr>
      <vt:lpstr>Menú</vt:lpstr>
      <vt:lpstr>Ventas</vt:lpstr>
      <vt:lpstr>Servicios ADIMCLO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ADIMCLO SAS</dc:creator>
  <cp:lastModifiedBy>Viviana Daconte</cp:lastModifiedBy>
  <cp:revision>0</cp:revision>
  <dcterms:created xsi:type="dcterms:W3CDTF">2026-07-27T18:22:58Z</dcterms:created>
  <dcterms:modified xsi:type="dcterms:W3CDTF">2026-08-05T21:21:42Z</dcterms:modified>
  <dc:language>en-US</dc:language>
</cp:coreProperties>
</file>