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ADC-Brochure 2026\"/>
    </mc:Choice>
  </mc:AlternateContent>
  <xr:revisionPtr revIDLastSave="0" documentId="13_ncr:1_{A4929F61-7036-4A51-BCD7-42D7F05B064D}" xr6:coauthVersionLast="47" xr6:coauthVersionMax="47" xr10:uidLastSave="{00000000-0000-0000-0000-000000000000}"/>
  <bookViews>
    <workbookView xWindow="28680" yWindow="-120" windowWidth="29040" windowHeight="15720" tabRatio="500" activeTab="2" xr2:uid="{00000000-000D-0000-FFFF-FFFF00000000}"/>
  </bookViews>
  <sheets>
    <sheet name="Tablero" sheetId="4" r:id="rId1"/>
    <sheet name="Instrucciones" sheetId="1" r:id="rId2"/>
    <sheet name="Inventario" sheetId="2" r:id="rId3"/>
    <sheet name="Ventas" sheetId="3" r:id="rId4"/>
    <sheet name="Servicios ADIMCLO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3" i="2" l="1"/>
  <c r="Q103" i="2"/>
  <c r="N103" i="2"/>
  <c r="M103" i="2"/>
  <c r="K103" i="2"/>
  <c r="J103" i="2"/>
  <c r="I103" i="2"/>
  <c r="R102" i="2"/>
  <c r="Q102" i="2"/>
  <c r="N102" i="2"/>
  <c r="M102" i="2"/>
  <c r="K102" i="2"/>
  <c r="J102" i="2"/>
  <c r="I102" i="2"/>
  <c r="R101" i="2"/>
  <c r="Q101" i="2"/>
  <c r="N101" i="2"/>
  <c r="M101" i="2"/>
  <c r="K101" i="2"/>
  <c r="J101" i="2"/>
  <c r="I101" i="2"/>
  <c r="R100" i="2"/>
  <c r="Q100" i="2"/>
  <c r="N100" i="2"/>
  <c r="M100" i="2"/>
  <c r="K100" i="2"/>
  <c r="J100" i="2"/>
  <c r="I100" i="2"/>
  <c r="R99" i="2"/>
  <c r="Q99" i="2"/>
  <c r="N99" i="2"/>
  <c r="M99" i="2"/>
  <c r="K99" i="2"/>
  <c r="J99" i="2"/>
  <c r="I99" i="2"/>
  <c r="R98" i="2"/>
  <c r="Q98" i="2"/>
  <c r="N98" i="2"/>
  <c r="M98" i="2"/>
  <c r="K98" i="2"/>
  <c r="J98" i="2"/>
  <c r="I98" i="2"/>
  <c r="R97" i="2"/>
  <c r="Q97" i="2"/>
  <c r="N97" i="2"/>
  <c r="M97" i="2"/>
  <c r="K97" i="2"/>
  <c r="J97" i="2"/>
  <c r="I97" i="2"/>
  <c r="R96" i="2"/>
  <c r="Q96" i="2"/>
  <c r="N96" i="2"/>
  <c r="M96" i="2"/>
  <c r="K96" i="2"/>
  <c r="J96" i="2"/>
  <c r="I96" i="2"/>
  <c r="R95" i="2"/>
  <c r="Q95" i="2"/>
  <c r="N95" i="2"/>
  <c r="M95" i="2"/>
  <c r="K95" i="2"/>
  <c r="J95" i="2"/>
  <c r="I95" i="2"/>
  <c r="R94" i="2"/>
  <c r="Q94" i="2"/>
  <c r="N94" i="2"/>
  <c r="M94" i="2"/>
  <c r="K94" i="2"/>
  <c r="J94" i="2"/>
  <c r="I94" i="2"/>
  <c r="R93" i="2"/>
  <c r="Q93" i="2"/>
  <c r="N93" i="2"/>
  <c r="M93" i="2"/>
  <c r="K93" i="2"/>
  <c r="J93" i="2"/>
  <c r="I93" i="2"/>
  <c r="R92" i="2"/>
  <c r="Q92" i="2"/>
  <c r="N92" i="2"/>
  <c r="M92" i="2"/>
  <c r="K92" i="2"/>
  <c r="J92" i="2"/>
  <c r="I92" i="2"/>
  <c r="R91" i="2"/>
  <c r="Q91" i="2"/>
  <c r="N91" i="2"/>
  <c r="M91" i="2"/>
  <c r="K91" i="2"/>
  <c r="J91" i="2"/>
  <c r="I91" i="2"/>
  <c r="R90" i="2"/>
  <c r="Q90" i="2"/>
  <c r="N90" i="2"/>
  <c r="M90" i="2"/>
  <c r="K90" i="2"/>
  <c r="J90" i="2"/>
  <c r="I90" i="2"/>
  <c r="R89" i="2"/>
  <c r="Q89" i="2"/>
  <c r="N89" i="2"/>
  <c r="M89" i="2"/>
  <c r="K89" i="2"/>
  <c r="J89" i="2"/>
  <c r="I89" i="2"/>
  <c r="R88" i="2"/>
  <c r="Q88" i="2"/>
  <c r="N88" i="2"/>
  <c r="M88" i="2"/>
  <c r="K88" i="2"/>
  <c r="J88" i="2"/>
  <c r="I88" i="2"/>
  <c r="R87" i="2"/>
  <c r="Q87" i="2"/>
  <c r="N87" i="2"/>
  <c r="M87" i="2"/>
  <c r="K87" i="2"/>
  <c r="J87" i="2"/>
  <c r="I87" i="2"/>
  <c r="R86" i="2"/>
  <c r="Q86" i="2"/>
  <c r="N86" i="2"/>
  <c r="M86" i="2"/>
  <c r="K86" i="2"/>
  <c r="J86" i="2"/>
  <c r="I86" i="2"/>
  <c r="R85" i="2"/>
  <c r="Q85" i="2"/>
  <c r="N85" i="2"/>
  <c r="M85" i="2"/>
  <c r="K85" i="2"/>
  <c r="J85" i="2"/>
  <c r="I85" i="2"/>
  <c r="R84" i="2"/>
  <c r="Q84" i="2"/>
  <c r="N84" i="2"/>
  <c r="M84" i="2"/>
  <c r="K84" i="2"/>
  <c r="J84" i="2"/>
  <c r="I84" i="2"/>
  <c r="R83" i="2"/>
  <c r="Q83" i="2"/>
  <c r="N83" i="2"/>
  <c r="M83" i="2"/>
  <c r="K83" i="2"/>
  <c r="J83" i="2"/>
  <c r="I83" i="2"/>
  <c r="R82" i="2"/>
  <c r="Q82" i="2"/>
  <c r="N82" i="2"/>
  <c r="M82" i="2"/>
  <c r="K82" i="2"/>
  <c r="J82" i="2"/>
  <c r="I82" i="2"/>
  <c r="R81" i="2"/>
  <c r="Q81" i="2"/>
  <c r="N81" i="2"/>
  <c r="M81" i="2"/>
  <c r="K81" i="2"/>
  <c r="J81" i="2"/>
  <c r="I81" i="2"/>
  <c r="R80" i="2"/>
  <c r="Q80" i="2"/>
  <c r="N80" i="2"/>
  <c r="M80" i="2"/>
  <c r="K80" i="2"/>
  <c r="J80" i="2"/>
  <c r="I80" i="2"/>
  <c r="R79" i="2"/>
  <c r="Q79" i="2"/>
  <c r="N79" i="2"/>
  <c r="M79" i="2"/>
  <c r="K79" i="2"/>
  <c r="J79" i="2"/>
  <c r="I79" i="2"/>
  <c r="R78" i="2"/>
  <c r="Q78" i="2"/>
  <c r="N78" i="2"/>
  <c r="M78" i="2"/>
  <c r="K78" i="2"/>
  <c r="J78" i="2"/>
  <c r="I78" i="2"/>
  <c r="R77" i="2"/>
  <c r="Q77" i="2"/>
  <c r="N77" i="2"/>
  <c r="M77" i="2"/>
  <c r="K77" i="2"/>
  <c r="J77" i="2"/>
  <c r="I77" i="2"/>
  <c r="R76" i="2"/>
  <c r="Q76" i="2"/>
  <c r="N76" i="2"/>
  <c r="M76" i="2"/>
  <c r="K76" i="2"/>
  <c r="J76" i="2"/>
  <c r="I76" i="2"/>
  <c r="R75" i="2"/>
  <c r="Q75" i="2"/>
  <c r="N75" i="2"/>
  <c r="M75" i="2"/>
  <c r="K75" i="2"/>
  <c r="J75" i="2"/>
  <c r="I75" i="2"/>
  <c r="R74" i="2"/>
  <c r="Q74" i="2"/>
  <c r="N74" i="2"/>
  <c r="M74" i="2"/>
  <c r="K74" i="2"/>
  <c r="J74" i="2"/>
  <c r="I74" i="2"/>
  <c r="R73" i="2"/>
  <c r="Q73" i="2"/>
  <c r="N73" i="2"/>
  <c r="M73" i="2"/>
  <c r="K73" i="2"/>
  <c r="J73" i="2"/>
  <c r="I73" i="2"/>
  <c r="R72" i="2"/>
  <c r="Q72" i="2"/>
  <c r="N72" i="2"/>
  <c r="M72" i="2"/>
  <c r="K72" i="2"/>
  <c r="J72" i="2"/>
  <c r="I72" i="2"/>
  <c r="R71" i="2"/>
  <c r="Q71" i="2"/>
  <c r="N71" i="2"/>
  <c r="M71" i="2"/>
  <c r="K71" i="2"/>
  <c r="J71" i="2"/>
  <c r="I71" i="2"/>
  <c r="R70" i="2"/>
  <c r="Q70" i="2"/>
  <c r="N70" i="2"/>
  <c r="M70" i="2"/>
  <c r="K70" i="2"/>
  <c r="J70" i="2"/>
  <c r="I70" i="2"/>
  <c r="R69" i="2"/>
  <c r="Q69" i="2"/>
  <c r="N69" i="2"/>
  <c r="M69" i="2"/>
  <c r="K69" i="2"/>
  <c r="J69" i="2"/>
  <c r="I69" i="2"/>
  <c r="R68" i="2"/>
  <c r="Q68" i="2"/>
  <c r="N68" i="2"/>
  <c r="M68" i="2"/>
  <c r="K68" i="2"/>
  <c r="J68" i="2"/>
  <c r="I68" i="2"/>
  <c r="R67" i="2"/>
  <c r="Q67" i="2"/>
  <c r="N67" i="2"/>
  <c r="M67" i="2"/>
  <c r="K67" i="2"/>
  <c r="J67" i="2"/>
  <c r="I67" i="2"/>
  <c r="R66" i="2"/>
  <c r="Q66" i="2"/>
  <c r="N66" i="2"/>
  <c r="M66" i="2"/>
  <c r="K66" i="2"/>
  <c r="J66" i="2"/>
  <c r="I66" i="2"/>
  <c r="R65" i="2"/>
  <c r="Q65" i="2"/>
  <c r="N65" i="2"/>
  <c r="M65" i="2"/>
  <c r="K65" i="2"/>
  <c r="J65" i="2"/>
  <c r="I65" i="2"/>
  <c r="R64" i="2"/>
  <c r="Q64" i="2"/>
  <c r="N64" i="2"/>
  <c r="M64" i="2"/>
  <c r="K64" i="2"/>
  <c r="J64" i="2"/>
  <c r="I64" i="2"/>
  <c r="R63" i="2"/>
  <c r="Q63" i="2"/>
  <c r="N63" i="2"/>
  <c r="M63" i="2"/>
  <c r="K63" i="2"/>
  <c r="J63" i="2"/>
  <c r="I63" i="2"/>
  <c r="R62" i="2"/>
  <c r="Q62" i="2"/>
  <c r="N62" i="2"/>
  <c r="M62" i="2"/>
  <c r="K62" i="2"/>
  <c r="J62" i="2"/>
  <c r="I62" i="2"/>
  <c r="R61" i="2"/>
  <c r="Q61" i="2"/>
  <c r="N61" i="2"/>
  <c r="M61" i="2"/>
  <c r="K61" i="2"/>
  <c r="J61" i="2"/>
  <c r="I61" i="2"/>
  <c r="R60" i="2"/>
  <c r="Q60" i="2"/>
  <c r="N60" i="2"/>
  <c r="M60" i="2"/>
  <c r="K60" i="2"/>
  <c r="J60" i="2"/>
  <c r="I60" i="2"/>
  <c r="R59" i="2"/>
  <c r="Q59" i="2"/>
  <c r="N59" i="2"/>
  <c r="M59" i="2"/>
  <c r="K59" i="2"/>
  <c r="J59" i="2"/>
  <c r="I59" i="2"/>
  <c r="R58" i="2"/>
  <c r="Q58" i="2"/>
  <c r="N58" i="2"/>
  <c r="M58" i="2"/>
  <c r="K58" i="2"/>
  <c r="J58" i="2"/>
  <c r="I58" i="2"/>
  <c r="R57" i="2"/>
  <c r="Q57" i="2"/>
  <c r="N57" i="2"/>
  <c r="M57" i="2"/>
  <c r="K57" i="2"/>
  <c r="J57" i="2"/>
  <c r="I57" i="2"/>
  <c r="R56" i="2"/>
  <c r="Q56" i="2"/>
  <c r="N56" i="2"/>
  <c r="M56" i="2"/>
  <c r="K56" i="2"/>
  <c r="J56" i="2"/>
  <c r="I56" i="2"/>
  <c r="R55" i="2"/>
  <c r="Q55" i="2"/>
  <c r="N55" i="2"/>
  <c r="M55" i="2"/>
  <c r="K55" i="2"/>
  <c r="J55" i="2"/>
  <c r="I55" i="2"/>
  <c r="R54" i="2"/>
  <c r="Q54" i="2"/>
  <c r="N54" i="2"/>
  <c r="M54" i="2"/>
  <c r="K54" i="2"/>
  <c r="J54" i="2"/>
  <c r="I54" i="2"/>
  <c r="R53" i="2"/>
  <c r="Q53" i="2"/>
  <c r="N53" i="2"/>
  <c r="M53" i="2"/>
  <c r="K53" i="2"/>
  <c r="J53" i="2"/>
  <c r="I53" i="2"/>
  <c r="R52" i="2"/>
  <c r="Q52" i="2"/>
  <c r="N52" i="2"/>
  <c r="M52" i="2"/>
  <c r="K52" i="2"/>
  <c r="J52" i="2"/>
  <c r="I52" i="2"/>
  <c r="R51" i="2"/>
  <c r="Q51" i="2"/>
  <c r="N51" i="2"/>
  <c r="M51" i="2"/>
  <c r="K51" i="2"/>
  <c r="J51" i="2"/>
  <c r="I51" i="2"/>
  <c r="R50" i="2"/>
  <c r="Q50" i="2"/>
  <c r="N50" i="2"/>
  <c r="M50" i="2"/>
  <c r="K50" i="2"/>
  <c r="J50" i="2"/>
  <c r="I50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R49" i="2"/>
  <c r="Q49" i="2"/>
  <c r="P49" i="2"/>
  <c r="O49" i="2"/>
  <c r="N49" i="2"/>
  <c r="M49" i="2"/>
  <c r="K49" i="2"/>
  <c r="J49" i="2"/>
  <c r="I49" i="2"/>
  <c r="G49" i="2"/>
  <c r="D37" i="4"/>
  <c r="G29" i="4"/>
  <c r="E29" i="4"/>
  <c r="D29" i="4"/>
  <c r="C29" i="4"/>
  <c r="G28" i="4"/>
  <c r="G27" i="4"/>
  <c r="G26" i="4"/>
  <c r="G25" i="4"/>
  <c r="G24" i="4"/>
  <c r="G23" i="4"/>
  <c r="G22" i="4"/>
  <c r="G21" i="4"/>
  <c r="B8" i="4"/>
  <c r="G204" i="3"/>
  <c r="E204" i="3"/>
  <c r="F204" i="3" s="1"/>
  <c r="C204" i="3"/>
  <c r="G203" i="3"/>
  <c r="E203" i="3"/>
  <c r="F203" i="3" s="1"/>
  <c r="H203" i="3" s="1"/>
  <c r="C203" i="3"/>
  <c r="G202" i="3"/>
  <c r="E202" i="3"/>
  <c r="F202" i="3" s="1"/>
  <c r="C202" i="3"/>
  <c r="G201" i="3"/>
  <c r="E201" i="3"/>
  <c r="F201" i="3" s="1"/>
  <c r="C201" i="3"/>
  <c r="G200" i="3"/>
  <c r="E200" i="3"/>
  <c r="F200" i="3" s="1"/>
  <c r="C200" i="3"/>
  <c r="G199" i="3"/>
  <c r="E199" i="3"/>
  <c r="F199" i="3" s="1"/>
  <c r="H199" i="3" s="1"/>
  <c r="C199" i="3"/>
  <c r="G198" i="3"/>
  <c r="E198" i="3"/>
  <c r="F198" i="3" s="1"/>
  <c r="H198" i="3" s="1"/>
  <c r="C198" i="3"/>
  <c r="G197" i="3"/>
  <c r="E197" i="3"/>
  <c r="F197" i="3" s="1"/>
  <c r="C197" i="3"/>
  <c r="G196" i="3"/>
  <c r="E196" i="3"/>
  <c r="F196" i="3" s="1"/>
  <c r="H196" i="3" s="1"/>
  <c r="C196" i="3"/>
  <c r="G195" i="3"/>
  <c r="E195" i="3"/>
  <c r="F195" i="3" s="1"/>
  <c r="H195" i="3" s="1"/>
  <c r="C195" i="3"/>
  <c r="G194" i="3"/>
  <c r="E194" i="3"/>
  <c r="F194" i="3" s="1"/>
  <c r="H194" i="3" s="1"/>
  <c r="C194" i="3"/>
  <c r="G193" i="3"/>
  <c r="E193" i="3"/>
  <c r="F193" i="3" s="1"/>
  <c r="C193" i="3"/>
  <c r="G192" i="3"/>
  <c r="E192" i="3"/>
  <c r="F192" i="3" s="1"/>
  <c r="C192" i="3"/>
  <c r="G191" i="3"/>
  <c r="E191" i="3"/>
  <c r="F191" i="3" s="1"/>
  <c r="C191" i="3"/>
  <c r="G190" i="3"/>
  <c r="E190" i="3"/>
  <c r="F190" i="3" s="1"/>
  <c r="C190" i="3"/>
  <c r="G189" i="3"/>
  <c r="E189" i="3"/>
  <c r="F189" i="3" s="1"/>
  <c r="H189" i="3" s="1"/>
  <c r="C189" i="3"/>
  <c r="G188" i="3"/>
  <c r="E188" i="3"/>
  <c r="F188" i="3" s="1"/>
  <c r="C188" i="3"/>
  <c r="G187" i="3"/>
  <c r="E187" i="3"/>
  <c r="F187" i="3" s="1"/>
  <c r="H187" i="3" s="1"/>
  <c r="C187" i="3"/>
  <c r="G186" i="3"/>
  <c r="E186" i="3"/>
  <c r="F186" i="3" s="1"/>
  <c r="C186" i="3"/>
  <c r="G185" i="3"/>
  <c r="E185" i="3"/>
  <c r="F185" i="3" s="1"/>
  <c r="C185" i="3"/>
  <c r="G184" i="3"/>
  <c r="E184" i="3"/>
  <c r="F184" i="3" s="1"/>
  <c r="C184" i="3"/>
  <c r="G183" i="3"/>
  <c r="E183" i="3"/>
  <c r="F183" i="3" s="1"/>
  <c r="C183" i="3"/>
  <c r="G182" i="3"/>
  <c r="E182" i="3"/>
  <c r="F182" i="3" s="1"/>
  <c r="C182" i="3"/>
  <c r="G181" i="3"/>
  <c r="E181" i="3"/>
  <c r="F181" i="3" s="1"/>
  <c r="H181" i="3" s="1"/>
  <c r="C181" i="3"/>
  <c r="G180" i="3"/>
  <c r="E180" i="3"/>
  <c r="F180" i="3" s="1"/>
  <c r="H180" i="3" s="1"/>
  <c r="C180" i="3"/>
  <c r="G179" i="3"/>
  <c r="E179" i="3"/>
  <c r="F179" i="3" s="1"/>
  <c r="C179" i="3"/>
  <c r="G178" i="3"/>
  <c r="E178" i="3"/>
  <c r="F178" i="3" s="1"/>
  <c r="H178" i="3" s="1"/>
  <c r="C178" i="3"/>
  <c r="G177" i="3"/>
  <c r="E177" i="3"/>
  <c r="F177" i="3" s="1"/>
  <c r="H177" i="3" s="1"/>
  <c r="C177" i="3"/>
  <c r="G176" i="3"/>
  <c r="E176" i="3"/>
  <c r="F176" i="3" s="1"/>
  <c r="C176" i="3"/>
  <c r="G175" i="3"/>
  <c r="E175" i="3"/>
  <c r="F175" i="3" s="1"/>
  <c r="C175" i="3"/>
  <c r="G174" i="3"/>
  <c r="E174" i="3"/>
  <c r="F174" i="3" s="1"/>
  <c r="H174" i="3" s="1"/>
  <c r="C174" i="3"/>
  <c r="G173" i="3"/>
  <c r="E173" i="3"/>
  <c r="F173" i="3" s="1"/>
  <c r="C173" i="3"/>
  <c r="G172" i="3"/>
  <c r="E172" i="3"/>
  <c r="F172" i="3" s="1"/>
  <c r="C172" i="3"/>
  <c r="G171" i="3"/>
  <c r="E171" i="3"/>
  <c r="F171" i="3" s="1"/>
  <c r="H171" i="3" s="1"/>
  <c r="C171" i="3"/>
  <c r="G170" i="3"/>
  <c r="E170" i="3"/>
  <c r="F170" i="3" s="1"/>
  <c r="H170" i="3" s="1"/>
  <c r="C170" i="3"/>
  <c r="G169" i="3"/>
  <c r="E169" i="3"/>
  <c r="F169" i="3" s="1"/>
  <c r="H169" i="3" s="1"/>
  <c r="C169" i="3"/>
  <c r="G168" i="3"/>
  <c r="E168" i="3"/>
  <c r="F168" i="3" s="1"/>
  <c r="H168" i="3" s="1"/>
  <c r="C168" i="3"/>
  <c r="G167" i="3"/>
  <c r="E167" i="3"/>
  <c r="F167" i="3" s="1"/>
  <c r="H167" i="3" s="1"/>
  <c r="C167" i="3"/>
  <c r="G166" i="3"/>
  <c r="E166" i="3"/>
  <c r="F166" i="3" s="1"/>
  <c r="H166" i="3" s="1"/>
  <c r="C166" i="3"/>
  <c r="G165" i="3"/>
  <c r="E165" i="3"/>
  <c r="F165" i="3" s="1"/>
  <c r="H165" i="3" s="1"/>
  <c r="C165" i="3"/>
  <c r="G164" i="3"/>
  <c r="E164" i="3"/>
  <c r="F164" i="3" s="1"/>
  <c r="H164" i="3" s="1"/>
  <c r="C164" i="3"/>
  <c r="G163" i="3"/>
  <c r="E163" i="3"/>
  <c r="F163" i="3" s="1"/>
  <c r="H163" i="3" s="1"/>
  <c r="C163" i="3"/>
  <c r="G162" i="3"/>
  <c r="E162" i="3"/>
  <c r="F162" i="3" s="1"/>
  <c r="H162" i="3" s="1"/>
  <c r="C162" i="3"/>
  <c r="G161" i="3"/>
  <c r="E161" i="3"/>
  <c r="F161" i="3" s="1"/>
  <c r="H161" i="3" s="1"/>
  <c r="C161" i="3"/>
  <c r="G160" i="3"/>
  <c r="E160" i="3"/>
  <c r="F160" i="3" s="1"/>
  <c r="H160" i="3" s="1"/>
  <c r="C160" i="3"/>
  <c r="G159" i="3"/>
  <c r="E159" i="3"/>
  <c r="F159" i="3" s="1"/>
  <c r="C159" i="3"/>
  <c r="G158" i="3"/>
  <c r="E158" i="3"/>
  <c r="F158" i="3" s="1"/>
  <c r="H158" i="3" s="1"/>
  <c r="C158" i="3"/>
  <c r="G157" i="3"/>
  <c r="E157" i="3"/>
  <c r="F157" i="3" s="1"/>
  <c r="H157" i="3" s="1"/>
  <c r="C157" i="3"/>
  <c r="G156" i="3"/>
  <c r="E156" i="3"/>
  <c r="F156" i="3" s="1"/>
  <c r="C156" i="3"/>
  <c r="G155" i="3"/>
  <c r="E155" i="3"/>
  <c r="F155" i="3" s="1"/>
  <c r="H155" i="3" s="1"/>
  <c r="C155" i="3"/>
  <c r="G154" i="3"/>
  <c r="E154" i="3"/>
  <c r="F154" i="3" s="1"/>
  <c r="C154" i="3"/>
  <c r="G153" i="3"/>
  <c r="E153" i="3"/>
  <c r="F153" i="3" s="1"/>
  <c r="C153" i="3"/>
  <c r="G152" i="3"/>
  <c r="E152" i="3"/>
  <c r="F152" i="3" s="1"/>
  <c r="H152" i="3" s="1"/>
  <c r="C152" i="3"/>
  <c r="G151" i="3"/>
  <c r="E151" i="3"/>
  <c r="F151" i="3" s="1"/>
  <c r="H151" i="3" s="1"/>
  <c r="C151" i="3"/>
  <c r="G150" i="3"/>
  <c r="E150" i="3"/>
  <c r="F150" i="3" s="1"/>
  <c r="H150" i="3" s="1"/>
  <c r="C150" i="3"/>
  <c r="G149" i="3"/>
  <c r="E149" i="3"/>
  <c r="F149" i="3" s="1"/>
  <c r="H149" i="3" s="1"/>
  <c r="C149" i="3"/>
  <c r="G148" i="3"/>
  <c r="E148" i="3"/>
  <c r="F148" i="3" s="1"/>
  <c r="H148" i="3" s="1"/>
  <c r="C148" i="3"/>
  <c r="G147" i="3"/>
  <c r="E147" i="3"/>
  <c r="F147" i="3" s="1"/>
  <c r="H147" i="3" s="1"/>
  <c r="C147" i="3"/>
  <c r="G146" i="3"/>
  <c r="E146" i="3"/>
  <c r="F146" i="3" s="1"/>
  <c r="H146" i="3" s="1"/>
  <c r="C146" i="3"/>
  <c r="G145" i="3"/>
  <c r="E145" i="3"/>
  <c r="F145" i="3" s="1"/>
  <c r="H145" i="3" s="1"/>
  <c r="C145" i="3"/>
  <c r="G144" i="3"/>
  <c r="E144" i="3"/>
  <c r="F144" i="3" s="1"/>
  <c r="H144" i="3" s="1"/>
  <c r="C144" i="3"/>
  <c r="G143" i="3"/>
  <c r="E143" i="3"/>
  <c r="F143" i="3" s="1"/>
  <c r="H143" i="3" s="1"/>
  <c r="C143" i="3"/>
  <c r="G142" i="3"/>
  <c r="E142" i="3"/>
  <c r="F142" i="3" s="1"/>
  <c r="H142" i="3" s="1"/>
  <c r="C142" i="3"/>
  <c r="G141" i="3"/>
  <c r="E141" i="3"/>
  <c r="F141" i="3" s="1"/>
  <c r="H141" i="3" s="1"/>
  <c r="C141" i="3"/>
  <c r="G140" i="3"/>
  <c r="E140" i="3"/>
  <c r="F140" i="3" s="1"/>
  <c r="H140" i="3" s="1"/>
  <c r="C140" i="3"/>
  <c r="G139" i="3"/>
  <c r="E139" i="3"/>
  <c r="F139" i="3" s="1"/>
  <c r="H139" i="3" s="1"/>
  <c r="C139" i="3"/>
  <c r="G138" i="3"/>
  <c r="E138" i="3"/>
  <c r="F138" i="3" s="1"/>
  <c r="H138" i="3" s="1"/>
  <c r="C138" i="3"/>
  <c r="G137" i="3"/>
  <c r="E137" i="3"/>
  <c r="F137" i="3" s="1"/>
  <c r="H137" i="3" s="1"/>
  <c r="C137" i="3"/>
  <c r="G136" i="3"/>
  <c r="E136" i="3"/>
  <c r="F136" i="3" s="1"/>
  <c r="H136" i="3" s="1"/>
  <c r="C136" i="3"/>
  <c r="G135" i="3"/>
  <c r="E135" i="3"/>
  <c r="F135" i="3" s="1"/>
  <c r="H135" i="3" s="1"/>
  <c r="C135" i="3"/>
  <c r="G134" i="3"/>
  <c r="E134" i="3"/>
  <c r="F134" i="3" s="1"/>
  <c r="H134" i="3" s="1"/>
  <c r="C134" i="3"/>
  <c r="G133" i="3"/>
  <c r="E133" i="3"/>
  <c r="F133" i="3" s="1"/>
  <c r="H133" i="3" s="1"/>
  <c r="C133" i="3"/>
  <c r="G132" i="3"/>
  <c r="E132" i="3"/>
  <c r="F132" i="3" s="1"/>
  <c r="H132" i="3" s="1"/>
  <c r="C132" i="3"/>
  <c r="G131" i="3"/>
  <c r="E131" i="3"/>
  <c r="F131" i="3" s="1"/>
  <c r="H131" i="3" s="1"/>
  <c r="C131" i="3"/>
  <c r="G130" i="3"/>
  <c r="E130" i="3"/>
  <c r="F130" i="3" s="1"/>
  <c r="H130" i="3" s="1"/>
  <c r="C130" i="3"/>
  <c r="G129" i="3"/>
  <c r="E129" i="3"/>
  <c r="F129" i="3" s="1"/>
  <c r="H129" i="3" s="1"/>
  <c r="C129" i="3"/>
  <c r="G128" i="3"/>
  <c r="E128" i="3"/>
  <c r="F128" i="3" s="1"/>
  <c r="C128" i="3"/>
  <c r="G127" i="3"/>
  <c r="E127" i="3"/>
  <c r="F127" i="3" s="1"/>
  <c r="H127" i="3" s="1"/>
  <c r="C127" i="3"/>
  <c r="G126" i="3"/>
  <c r="E126" i="3"/>
  <c r="F126" i="3" s="1"/>
  <c r="H126" i="3" s="1"/>
  <c r="C126" i="3"/>
  <c r="G125" i="3"/>
  <c r="E125" i="3"/>
  <c r="F125" i="3" s="1"/>
  <c r="H125" i="3" s="1"/>
  <c r="C125" i="3"/>
  <c r="G124" i="3"/>
  <c r="E124" i="3"/>
  <c r="F124" i="3" s="1"/>
  <c r="C124" i="3"/>
  <c r="G123" i="3"/>
  <c r="E123" i="3"/>
  <c r="F123" i="3" s="1"/>
  <c r="H123" i="3" s="1"/>
  <c r="C123" i="3"/>
  <c r="G122" i="3"/>
  <c r="E122" i="3"/>
  <c r="F122" i="3" s="1"/>
  <c r="H122" i="3" s="1"/>
  <c r="C122" i="3"/>
  <c r="G121" i="3"/>
  <c r="E121" i="3"/>
  <c r="F121" i="3" s="1"/>
  <c r="C121" i="3"/>
  <c r="G120" i="3"/>
  <c r="E120" i="3"/>
  <c r="F120" i="3" s="1"/>
  <c r="H120" i="3" s="1"/>
  <c r="C120" i="3"/>
  <c r="G119" i="3"/>
  <c r="E119" i="3"/>
  <c r="F119" i="3" s="1"/>
  <c r="H119" i="3" s="1"/>
  <c r="C119" i="3"/>
  <c r="G118" i="3"/>
  <c r="E118" i="3"/>
  <c r="F118" i="3" s="1"/>
  <c r="C118" i="3"/>
  <c r="G117" i="3"/>
  <c r="E117" i="3"/>
  <c r="F117" i="3" s="1"/>
  <c r="H117" i="3" s="1"/>
  <c r="C117" i="3"/>
  <c r="G116" i="3"/>
  <c r="E116" i="3"/>
  <c r="F116" i="3" s="1"/>
  <c r="H116" i="3" s="1"/>
  <c r="C116" i="3"/>
  <c r="G115" i="3"/>
  <c r="E115" i="3"/>
  <c r="F115" i="3" s="1"/>
  <c r="H115" i="3" s="1"/>
  <c r="C115" i="3"/>
  <c r="G114" i="3"/>
  <c r="E114" i="3"/>
  <c r="F114" i="3" s="1"/>
  <c r="H114" i="3" s="1"/>
  <c r="C114" i="3"/>
  <c r="G113" i="3"/>
  <c r="E113" i="3"/>
  <c r="F113" i="3" s="1"/>
  <c r="H113" i="3" s="1"/>
  <c r="C113" i="3"/>
  <c r="G112" i="3"/>
  <c r="E112" i="3"/>
  <c r="F112" i="3" s="1"/>
  <c r="H112" i="3" s="1"/>
  <c r="C112" i="3"/>
  <c r="G111" i="3"/>
  <c r="E111" i="3"/>
  <c r="F111" i="3" s="1"/>
  <c r="C111" i="3"/>
  <c r="G110" i="3"/>
  <c r="E110" i="3"/>
  <c r="F110" i="3" s="1"/>
  <c r="C110" i="3"/>
  <c r="G109" i="3"/>
  <c r="E109" i="3"/>
  <c r="F109" i="3" s="1"/>
  <c r="C109" i="3"/>
  <c r="G108" i="3"/>
  <c r="E108" i="3"/>
  <c r="F108" i="3" s="1"/>
  <c r="H108" i="3" s="1"/>
  <c r="C108" i="3"/>
  <c r="G107" i="3"/>
  <c r="E107" i="3"/>
  <c r="F107" i="3" s="1"/>
  <c r="H107" i="3" s="1"/>
  <c r="C107" i="3"/>
  <c r="G106" i="3"/>
  <c r="E106" i="3"/>
  <c r="F106" i="3" s="1"/>
  <c r="H106" i="3" s="1"/>
  <c r="C106" i="3"/>
  <c r="G105" i="3"/>
  <c r="E105" i="3"/>
  <c r="F105" i="3" s="1"/>
  <c r="H105" i="3" s="1"/>
  <c r="C105" i="3"/>
  <c r="G104" i="3"/>
  <c r="E104" i="3"/>
  <c r="F104" i="3" s="1"/>
  <c r="C104" i="3"/>
  <c r="G103" i="3"/>
  <c r="E103" i="3"/>
  <c r="F103" i="3" s="1"/>
  <c r="H103" i="3" s="1"/>
  <c r="C103" i="3"/>
  <c r="G102" i="3"/>
  <c r="E102" i="3"/>
  <c r="F102" i="3" s="1"/>
  <c r="C102" i="3"/>
  <c r="G101" i="3"/>
  <c r="E101" i="3"/>
  <c r="F101" i="3" s="1"/>
  <c r="H101" i="3" s="1"/>
  <c r="C101" i="3"/>
  <c r="G100" i="3"/>
  <c r="E100" i="3"/>
  <c r="F100" i="3" s="1"/>
  <c r="C100" i="3"/>
  <c r="G99" i="3"/>
  <c r="E99" i="3"/>
  <c r="F99" i="3" s="1"/>
  <c r="H99" i="3" s="1"/>
  <c r="C99" i="3"/>
  <c r="G98" i="3"/>
  <c r="E98" i="3"/>
  <c r="F98" i="3" s="1"/>
  <c r="C98" i="3"/>
  <c r="G97" i="3"/>
  <c r="E97" i="3"/>
  <c r="F97" i="3" s="1"/>
  <c r="C97" i="3"/>
  <c r="G96" i="3"/>
  <c r="E96" i="3"/>
  <c r="F96" i="3" s="1"/>
  <c r="H96" i="3" s="1"/>
  <c r="C96" i="3"/>
  <c r="G95" i="3"/>
  <c r="E95" i="3"/>
  <c r="F95" i="3" s="1"/>
  <c r="H95" i="3" s="1"/>
  <c r="C95" i="3"/>
  <c r="G94" i="3"/>
  <c r="E94" i="3"/>
  <c r="F94" i="3" s="1"/>
  <c r="H94" i="3" s="1"/>
  <c r="C94" i="3"/>
  <c r="G93" i="3"/>
  <c r="E93" i="3"/>
  <c r="F93" i="3" s="1"/>
  <c r="H93" i="3" s="1"/>
  <c r="C93" i="3"/>
  <c r="G92" i="3"/>
  <c r="E92" i="3"/>
  <c r="F92" i="3" s="1"/>
  <c r="H92" i="3" s="1"/>
  <c r="C92" i="3"/>
  <c r="G91" i="3"/>
  <c r="E91" i="3"/>
  <c r="F91" i="3" s="1"/>
  <c r="C91" i="3"/>
  <c r="G90" i="3"/>
  <c r="E90" i="3"/>
  <c r="F90" i="3" s="1"/>
  <c r="H90" i="3" s="1"/>
  <c r="C90" i="3"/>
  <c r="G89" i="3"/>
  <c r="E89" i="3"/>
  <c r="F89" i="3" s="1"/>
  <c r="H89" i="3" s="1"/>
  <c r="C89" i="3"/>
  <c r="G88" i="3"/>
  <c r="E88" i="3"/>
  <c r="F88" i="3" s="1"/>
  <c r="C88" i="3"/>
  <c r="G87" i="3"/>
  <c r="E87" i="3"/>
  <c r="F87" i="3" s="1"/>
  <c r="H87" i="3" s="1"/>
  <c r="C87" i="3"/>
  <c r="G86" i="3"/>
  <c r="E86" i="3"/>
  <c r="F86" i="3" s="1"/>
  <c r="C86" i="3"/>
  <c r="G85" i="3"/>
  <c r="E85" i="3"/>
  <c r="F85" i="3" s="1"/>
  <c r="H85" i="3" s="1"/>
  <c r="C85" i="3"/>
  <c r="G84" i="3"/>
  <c r="E84" i="3"/>
  <c r="F84" i="3" s="1"/>
  <c r="H84" i="3" s="1"/>
  <c r="C84" i="3"/>
  <c r="G83" i="3"/>
  <c r="E83" i="3"/>
  <c r="F83" i="3" s="1"/>
  <c r="C83" i="3"/>
  <c r="G82" i="3"/>
  <c r="E82" i="3"/>
  <c r="F82" i="3" s="1"/>
  <c r="C82" i="3"/>
  <c r="G81" i="3"/>
  <c r="E81" i="3"/>
  <c r="F81" i="3" s="1"/>
  <c r="H81" i="3" s="1"/>
  <c r="C81" i="3"/>
  <c r="G80" i="3"/>
  <c r="E80" i="3"/>
  <c r="F80" i="3" s="1"/>
  <c r="H80" i="3" s="1"/>
  <c r="C80" i="3"/>
  <c r="G79" i="3"/>
  <c r="E79" i="3"/>
  <c r="F79" i="3" s="1"/>
  <c r="C79" i="3"/>
  <c r="G78" i="3"/>
  <c r="E78" i="3"/>
  <c r="F78" i="3" s="1"/>
  <c r="H78" i="3" s="1"/>
  <c r="C78" i="3"/>
  <c r="G77" i="3"/>
  <c r="E77" i="3"/>
  <c r="F77" i="3" s="1"/>
  <c r="C77" i="3"/>
  <c r="G76" i="3"/>
  <c r="E76" i="3"/>
  <c r="F76" i="3" s="1"/>
  <c r="H76" i="3" s="1"/>
  <c r="C76" i="3"/>
  <c r="G75" i="3"/>
  <c r="E75" i="3"/>
  <c r="F75" i="3" s="1"/>
  <c r="H75" i="3" s="1"/>
  <c r="C75" i="3"/>
  <c r="G74" i="3"/>
  <c r="E74" i="3"/>
  <c r="F74" i="3" s="1"/>
  <c r="H74" i="3" s="1"/>
  <c r="C74" i="3"/>
  <c r="G73" i="3"/>
  <c r="E73" i="3"/>
  <c r="F73" i="3" s="1"/>
  <c r="H73" i="3" s="1"/>
  <c r="C73" i="3"/>
  <c r="G72" i="3"/>
  <c r="E72" i="3"/>
  <c r="F72" i="3" s="1"/>
  <c r="H72" i="3" s="1"/>
  <c r="C72" i="3"/>
  <c r="G71" i="3"/>
  <c r="E71" i="3"/>
  <c r="F71" i="3" s="1"/>
  <c r="H71" i="3" s="1"/>
  <c r="C71" i="3"/>
  <c r="G70" i="3"/>
  <c r="E70" i="3"/>
  <c r="F70" i="3" s="1"/>
  <c r="H70" i="3" s="1"/>
  <c r="C70" i="3"/>
  <c r="G69" i="3"/>
  <c r="E69" i="3"/>
  <c r="F69" i="3" s="1"/>
  <c r="H69" i="3" s="1"/>
  <c r="C69" i="3"/>
  <c r="G68" i="3"/>
  <c r="E68" i="3"/>
  <c r="F68" i="3" s="1"/>
  <c r="H68" i="3" s="1"/>
  <c r="C68" i="3"/>
  <c r="G67" i="3"/>
  <c r="E67" i="3"/>
  <c r="F67" i="3" s="1"/>
  <c r="H67" i="3" s="1"/>
  <c r="C67" i="3"/>
  <c r="G66" i="3"/>
  <c r="E66" i="3"/>
  <c r="F66" i="3" s="1"/>
  <c r="H66" i="3" s="1"/>
  <c r="C66" i="3"/>
  <c r="G65" i="3"/>
  <c r="E65" i="3"/>
  <c r="F65" i="3" s="1"/>
  <c r="H65" i="3" s="1"/>
  <c r="C65" i="3"/>
  <c r="G64" i="3"/>
  <c r="E64" i="3"/>
  <c r="F64" i="3" s="1"/>
  <c r="H64" i="3" s="1"/>
  <c r="C64" i="3"/>
  <c r="G63" i="3"/>
  <c r="E63" i="3"/>
  <c r="F63" i="3" s="1"/>
  <c r="H63" i="3" s="1"/>
  <c r="C63" i="3"/>
  <c r="G62" i="3"/>
  <c r="E62" i="3"/>
  <c r="F62" i="3" s="1"/>
  <c r="H62" i="3" s="1"/>
  <c r="C62" i="3"/>
  <c r="G61" i="3"/>
  <c r="E61" i="3"/>
  <c r="F61" i="3" s="1"/>
  <c r="H61" i="3" s="1"/>
  <c r="C61" i="3"/>
  <c r="G60" i="3"/>
  <c r="E60" i="3"/>
  <c r="F60" i="3" s="1"/>
  <c r="H60" i="3" s="1"/>
  <c r="C60" i="3"/>
  <c r="G59" i="3"/>
  <c r="E59" i="3"/>
  <c r="F59" i="3" s="1"/>
  <c r="H59" i="3" s="1"/>
  <c r="C59" i="3"/>
  <c r="G58" i="3"/>
  <c r="E58" i="3"/>
  <c r="F58" i="3" s="1"/>
  <c r="H58" i="3" s="1"/>
  <c r="C58" i="3"/>
  <c r="G57" i="3"/>
  <c r="E57" i="3"/>
  <c r="F57" i="3" s="1"/>
  <c r="H57" i="3" s="1"/>
  <c r="C57" i="3"/>
  <c r="G56" i="3"/>
  <c r="E56" i="3"/>
  <c r="F56" i="3" s="1"/>
  <c r="H56" i="3" s="1"/>
  <c r="C56" i="3"/>
  <c r="G55" i="3"/>
  <c r="E55" i="3"/>
  <c r="F55" i="3" s="1"/>
  <c r="H55" i="3" s="1"/>
  <c r="C55" i="3"/>
  <c r="G54" i="3"/>
  <c r="E54" i="3"/>
  <c r="F54" i="3" s="1"/>
  <c r="H54" i="3" s="1"/>
  <c r="C54" i="3"/>
  <c r="G53" i="3"/>
  <c r="E53" i="3"/>
  <c r="F53" i="3" s="1"/>
  <c r="H53" i="3" s="1"/>
  <c r="C53" i="3"/>
  <c r="G52" i="3"/>
  <c r="E52" i="3"/>
  <c r="F52" i="3" s="1"/>
  <c r="C52" i="3"/>
  <c r="G51" i="3"/>
  <c r="E51" i="3"/>
  <c r="F51" i="3" s="1"/>
  <c r="H51" i="3" s="1"/>
  <c r="C51" i="3"/>
  <c r="G50" i="3"/>
  <c r="E50" i="3"/>
  <c r="F50" i="3" s="1"/>
  <c r="H50" i="3" s="1"/>
  <c r="C50" i="3"/>
  <c r="G49" i="3"/>
  <c r="E49" i="3"/>
  <c r="F49" i="3" s="1"/>
  <c r="H49" i="3" s="1"/>
  <c r="C49" i="3"/>
  <c r="G48" i="3"/>
  <c r="E48" i="3"/>
  <c r="F48" i="3" s="1"/>
  <c r="H48" i="3" s="1"/>
  <c r="C48" i="3"/>
  <c r="G47" i="3"/>
  <c r="E47" i="3"/>
  <c r="F47" i="3" s="1"/>
  <c r="C47" i="3"/>
  <c r="G46" i="3"/>
  <c r="E46" i="3"/>
  <c r="F46" i="3" s="1"/>
  <c r="C46" i="3"/>
  <c r="G45" i="3"/>
  <c r="E45" i="3"/>
  <c r="F45" i="3" s="1"/>
  <c r="H45" i="3" s="1"/>
  <c r="C45" i="3"/>
  <c r="G44" i="3"/>
  <c r="E44" i="3"/>
  <c r="F44" i="3" s="1"/>
  <c r="H44" i="3" s="1"/>
  <c r="C44" i="3"/>
  <c r="G43" i="3"/>
  <c r="E43" i="3"/>
  <c r="F43" i="3" s="1"/>
  <c r="H43" i="3" s="1"/>
  <c r="C43" i="3"/>
  <c r="G42" i="3"/>
  <c r="E42" i="3"/>
  <c r="F42" i="3" s="1"/>
  <c r="C42" i="3"/>
  <c r="G41" i="3"/>
  <c r="E41" i="3"/>
  <c r="F41" i="3" s="1"/>
  <c r="H41" i="3" s="1"/>
  <c r="C41" i="3"/>
  <c r="G40" i="3"/>
  <c r="E40" i="3"/>
  <c r="F40" i="3" s="1"/>
  <c r="C40" i="3"/>
  <c r="G39" i="3"/>
  <c r="E39" i="3"/>
  <c r="F39" i="3" s="1"/>
  <c r="H39" i="3" s="1"/>
  <c r="C39" i="3"/>
  <c r="G38" i="3"/>
  <c r="E38" i="3"/>
  <c r="F38" i="3" s="1"/>
  <c r="C38" i="3"/>
  <c r="G37" i="3"/>
  <c r="E37" i="3"/>
  <c r="F37" i="3" s="1"/>
  <c r="H37" i="3" s="1"/>
  <c r="C37" i="3"/>
  <c r="G36" i="3"/>
  <c r="E36" i="3"/>
  <c r="F36" i="3" s="1"/>
  <c r="C36" i="3"/>
  <c r="G35" i="3"/>
  <c r="E35" i="3"/>
  <c r="F35" i="3" s="1"/>
  <c r="C35" i="3"/>
  <c r="G34" i="3"/>
  <c r="E34" i="3"/>
  <c r="F34" i="3" s="1"/>
  <c r="H34" i="3" s="1"/>
  <c r="C34" i="3"/>
  <c r="G33" i="3"/>
  <c r="E33" i="3"/>
  <c r="F33" i="3" s="1"/>
  <c r="H33" i="3" s="1"/>
  <c r="C33" i="3"/>
  <c r="G32" i="3"/>
  <c r="E32" i="3"/>
  <c r="F32" i="3" s="1"/>
  <c r="H32" i="3" s="1"/>
  <c r="C32" i="3"/>
  <c r="G31" i="3"/>
  <c r="E31" i="3"/>
  <c r="F31" i="3" s="1"/>
  <c r="C31" i="3"/>
  <c r="G30" i="3"/>
  <c r="E30" i="3"/>
  <c r="F30" i="3" s="1"/>
  <c r="C30" i="3"/>
  <c r="G29" i="3"/>
  <c r="E29" i="3"/>
  <c r="F29" i="3" s="1"/>
  <c r="H29" i="3" s="1"/>
  <c r="C29" i="3"/>
  <c r="G28" i="3"/>
  <c r="E28" i="3"/>
  <c r="F28" i="3" s="1"/>
  <c r="H28" i="3" s="1"/>
  <c r="C28" i="3"/>
  <c r="G27" i="3"/>
  <c r="E27" i="3"/>
  <c r="F27" i="3" s="1"/>
  <c r="C27" i="3"/>
  <c r="G26" i="3"/>
  <c r="E26" i="3"/>
  <c r="F26" i="3" s="1"/>
  <c r="H26" i="3" s="1"/>
  <c r="C26" i="3"/>
  <c r="G25" i="3"/>
  <c r="E25" i="3"/>
  <c r="F25" i="3" s="1"/>
  <c r="C25" i="3"/>
  <c r="G24" i="3"/>
  <c r="E24" i="3"/>
  <c r="F24" i="3" s="1"/>
  <c r="C24" i="3"/>
  <c r="G23" i="3"/>
  <c r="E23" i="3"/>
  <c r="F23" i="3" s="1"/>
  <c r="H23" i="3" s="1"/>
  <c r="C23" i="3"/>
  <c r="G22" i="3"/>
  <c r="E22" i="3"/>
  <c r="F22" i="3" s="1"/>
  <c r="H22" i="3" s="1"/>
  <c r="C22" i="3"/>
  <c r="G21" i="3"/>
  <c r="E21" i="3"/>
  <c r="F21" i="3" s="1"/>
  <c r="H21" i="3" s="1"/>
  <c r="C21" i="3"/>
  <c r="G20" i="3"/>
  <c r="E20" i="3"/>
  <c r="F20" i="3" s="1"/>
  <c r="C20" i="3"/>
  <c r="G19" i="3"/>
  <c r="E19" i="3"/>
  <c r="F19" i="3" s="1"/>
  <c r="C19" i="3"/>
  <c r="G18" i="3"/>
  <c r="E18" i="3"/>
  <c r="F18" i="3" s="1"/>
  <c r="H18" i="3" s="1"/>
  <c r="C18" i="3"/>
  <c r="G17" i="3"/>
  <c r="E17" i="3"/>
  <c r="F17" i="3" s="1"/>
  <c r="H17" i="3" s="1"/>
  <c r="C17" i="3"/>
  <c r="G16" i="3"/>
  <c r="E16" i="3"/>
  <c r="F16" i="3" s="1"/>
  <c r="H16" i="3" s="1"/>
  <c r="C16" i="3"/>
  <c r="G15" i="3"/>
  <c r="E15" i="3"/>
  <c r="F15" i="3" s="1"/>
  <c r="C15" i="3"/>
  <c r="G14" i="3"/>
  <c r="E14" i="3"/>
  <c r="F14" i="3" s="1"/>
  <c r="H14" i="3" s="1"/>
  <c r="C14" i="3"/>
  <c r="G13" i="3"/>
  <c r="E13" i="3"/>
  <c r="F13" i="3" s="1"/>
  <c r="H13" i="3" s="1"/>
  <c r="C13" i="3"/>
  <c r="G12" i="3"/>
  <c r="E12" i="3"/>
  <c r="F12" i="3" s="1"/>
  <c r="H12" i="3" s="1"/>
  <c r="C12" i="3"/>
  <c r="G11" i="3"/>
  <c r="E11" i="3"/>
  <c r="F11" i="3" s="1"/>
  <c r="H11" i="3" s="1"/>
  <c r="C11" i="3"/>
  <c r="G10" i="3"/>
  <c r="E10" i="3"/>
  <c r="F10" i="3" s="1"/>
  <c r="C10" i="3"/>
  <c r="G9" i="3"/>
  <c r="E9" i="3"/>
  <c r="F9" i="3" s="1"/>
  <c r="H9" i="3" s="1"/>
  <c r="C9" i="3"/>
  <c r="G8" i="3"/>
  <c r="E8" i="3"/>
  <c r="F8" i="3" s="1"/>
  <c r="H8" i="3" s="1"/>
  <c r="C8" i="3"/>
  <c r="G7" i="3"/>
  <c r="E7" i="3"/>
  <c r="F7" i="3" s="1"/>
  <c r="H7" i="3" s="1"/>
  <c r="C7" i="3"/>
  <c r="G6" i="3"/>
  <c r="E6" i="3"/>
  <c r="F6" i="3" s="1"/>
  <c r="H6" i="3" s="1"/>
  <c r="C6" i="3"/>
  <c r="G5" i="3"/>
  <c r="E5" i="3"/>
  <c r="F5" i="3" s="1"/>
  <c r="C5" i="3"/>
  <c r="I104" i="2"/>
  <c r="Q104" i="2" s="1"/>
  <c r="G104" i="2"/>
  <c r="I48" i="2"/>
  <c r="G48" i="2"/>
  <c r="I47" i="2"/>
  <c r="G47" i="2"/>
  <c r="I46" i="2"/>
  <c r="G46" i="2"/>
  <c r="I45" i="2"/>
  <c r="G45" i="2"/>
  <c r="I44" i="2"/>
  <c r="G44" i="2"/>
  <c r="I43" i="2"/>
  <c r="G43" i="2"/>
  <c r="I42" i="2"/>
  <c r="Q42" i="2" s="1"/>
  <c r="G42" i="2"/>
  <c r="I41" i="2"/>
  <c r="G41" i="2"/>
  <c r="I40" i="2"/>
  <c r="G40" i="2"/>
  <c r="I39" i="2"/>
  <c r="G39" i="2"/>
  <c r="I38" i="2"/>
  <c r="G38" i="2"/>
  <c r="I37" i="2"/>
  <c r="G37" i="2"/>
  <c r="I36" i="2"/>
  <c r="G36" i="2"/>
  <c r="I35" i="2"/>
  <c r="G35" i="2"/>
  <c r="I34" i="2"/>
  <c r="G34" i="2"/>
  <c r="I33" i="2"/>
  <c r="Q33" i="2" s="1"/>
  <c r="G33" i="2"/>
  <c r="I32" i="2"/>
  <c r="G32" i="2"/>
  <c r="I31" i="2"/>
  <c r="G31" i="2"/>
  <c r="I30" i="2"/>
  <c r="G30" i="2"/>
  <c r="I29" i="2"/>
  <c r="G29" i="2"/>
  <c r="I28" i="2"/>
  <c r="Q28" i="2" s="1"/>
  <c r="G28" i="2"/>
  <c r="I27" i="2"/>
  <c r="G27" i="2"/>
  <c r="I26" i="2"/>
  <c r="G26" i="2"/>
  <c r="I25" i="2"/>
  <c r="G25" i="2"/>
  <c r="I24" i="2"/>
  <c r="G24" i="2"/>
  <c r="I23" i="2"/>
  <c r="G23" i="2"/>
  <c r="I22" i="2"/>
  <c r="G22" i="2"/>
  <c r="I21" i="2"/>
  <c r="G21" i="2"/>
  <c r="I20" i="2"/>
  <c r="G20" i="2"/>
  <c r="I19" i="2"/>
  <c r="G19" i="2"/>
  <c r="I18" i="2"/>
  <c r="G18" i="2"/>
  <c r="I17" i="2"/>
  <c r="G17" i="2"/>
  <c r="I16" i="2"/>
  <c r="G16" i="2"/>
  <c r="I15" i="2"/>
  <c r="G15" i="2"/>
  <c r="I14" i="2"/>
  <c r="Q14" i="2" s="1"/>
  <c r="G14" i="2"/>
  <c r="I13" i="2"/>
  <c r="G13" i="2"/>
  <c r="I12" i="2"/>
  <c r="G12" i="2"/>
  <c r="I11" i="2"/>
  <c r="G11" i="2"/>
  <c r="I10" i="2"/>
  <c r="G10" i="2"/>
  <c r="I9" i="2"/>
  <c r="G9" i="2"/>
  <c r="I8" i="2"/>
  <c r="G8" i="2"/>
  <c r="I7" i="2"/>
  <c r="G7" i="2"/>
  <c r="I6" i="2"/>
  <c r="G6" i="2"/>
  <c r="I5" i="2"/>
  <c r="G5" i="2"/>
  <c r="P103" i="2" l="1"/>
  <c r="O103" i="2"/>
  <c r="O102" i="2"/>
  <c r="P102" i="2"/>
  <c r="O101" i="2"/>
  <c r="P101" i="2"/>
  <c r="P100" i="2"/>
  <c r="O100" i="2"/>
  <c r="P99" i="2"/>
  <c r="O99" i="2"/>
  <c r="O98" i="2"/>
  <c r="P98" i="2"/>
  <c r="O97" i="2"/>
  <c r="P97" i="2"/>
  <c r="O96" i="2"/>
  <c r="P96" i="2"/>
  <c r="P95" i="2"/>
  <c r="O95" i="2"/>
  <c r="O94" i="2"/>
  <c r="P94" i="2"/>
  <c r="O93" i="2"/>
  <c r="P93" i="2"/>
  <c r="P92" i="2"/>
  <c r="O92" i="2"/>
  <c r="O91" i="2"/>
  <c r="P91" i="2"/>
  <c r="O90" i="2"/>
  <c r="P90" i="2"/>
  <c r="P89" i="2"/>
  <c r="O89" i="2"/>
  <c r="P88" i="2"/>
  <c r="O88" i="2"/>
  <c r="O87" i="2"/>
  <c r="P87" i="2"/>
  <c r="O86" i="2"/>
  <c r="P86" i="2"/>
  <c r="P85" i="2"/>
  <c r="O85" i="2"/>
  <c r="O84" i="2"/>
  <c r="P84" i="2"/>
  <c r="O83" i="2"/>
  <c r="P83" i="2"/>
  <c r="P82" i="2"/>
  <c r="O82" i="2"/>
  <c r="P81" i="2"/>
  <c r="O81" i="2"/>
  <c r="P80" i="2"/>
  <c r="O80" i="2"/>
  <c r="O79" i="2"/>
  <c r="P79" i="2"/>
  <c r="P78" i="2"/>
  <c r="O78" i="2"/>
  <c r="O77" i="2"/>
  <c r="P77" i="2"/>
  <c r="P76" i="2"/>
  <c r="O76" i="2"/>
  <c r="O75" i="2"/>
  <c r="P75" i="2"/>
  <c r="P74" i="2"/>
  <c r="O74" i="2"/>
  <c r="O73" i="2"/>
  <c r="P73" i="2"/>
  <c r="P72" i="2"/>
  <c r="O72" i="2"/>
  <c r="P71" i="2"/>
  <c r="O71" i="2"/>
  <c r="P70" i="2"/>
  <c r="O70" i="2"/>
  <c r="O69" i="2"/>
  <c r="P69" i="2"/>
  <c r="O68" i="2"/>
  <c r="P68" i="2"/>
  <c r="O67" i="2"/>
  <c r="P67" i="2"/>
  <c r="O66" i="2"/>
  <c r="P66" i="2"/>
  <c r="O65" i="2"/>
  <c r="P65" i="2"/>
  <c r="O64" i="2"/>
  <c r="P64" i="2"/>
  <c r="O63" i="2"/>
  <c r="P63" i="2"/>
  <c r="O62" i="2"/>
  <c r="P62" i="2"/>
  <c r="O61" i="2"/>
  <c r="P61" i="2"/>
  <c r="P60" i="2"/>
  <c r="O60" i="2"/>
  <c r="O59" i="2"/>
  <c r="P59" i="2"/>
  <c r="P58" i="2"/>
  <c r="O58" i="2"/>
  <c r="O57" i="2"/>
  <c r="P57" i="2"/>
  <c r="P56" i="2"/>
  <c r="O56" i="2"/>
  <c r="O55" i="2"/>
  <c r="P55" i="2"/>
  <c r="P54" i="2"/>
  <c r="O54" i="2"/>
  <c r="P53" i="2"/>
  <c r="O53" i="2"/>
  <c r="P52" i="2"/>
  <c r="O52" i="2"/>
  <c r="O51" i="2"/>
  <c r="P51" i="2"/>
  <c r="P50" i="2"/>
  <c r="O50" i="2"/>
  <c r="H190" i="3"/>
  <c r="H52" i="3"/>
  <c r="H156" i="3"/>
  <c r="H159" i="3"/>
  <c r="H202" i="3"/>
  <c r="H154" i="3"/>
  <c r="H153" i="3"/>
  <c r="H77" i="3"/>
  <c r="H204" i="3"/>
  <c r="H173" i="3"/>
  <c r="H118" i="3"/>
  <c r="H47" i="3"/>
  <c r="H19" i="3"/>
  <c r="H15" i="3"/>
  <c r="H10" i="3"/>
  <c r="H182" i="3"/>
  <c r="H128" i="3"/>
  <c r="H172" i="3"/>
  <c r="H98" i="3"/>
  <c r="H197" i="3"/>
  <c r="H185" i="3"/>
  <c r="H40" i="3"/>
  <c r="H193" i="3"/>
  <c r="H186" i="3"/>
  <c r="H183" i="3"/>
  <c r="H111" i="3"/>
  <c r="H109" i="3"/>
  <c r="H35" i="3"/>
  <c r="H36" i="3"/>
  <c r="H201" i="3"/>
  <c r="H184" i="3"/>
  <c r="H42" i="3"/>
  <c r="H191" i="3"/>
  <c r="H25" i="3"/>
  <c r="H31" i="3"/>
  <c r="H24" i="3"/>
  <c r="H192" i="3"/>
  <c r="H30" i="3"/>
  <c r="H179" i="3"/>
  <c r="H102" i="3"/>
  <c r="H124" i="3"/>
  <c r="H38" i="3"/>
  <c r="H121" i="3"/>
  <c r="H104" i="3"/>
  <c r="H97" i="3"/>
  <c r="H91" i="3"/>
  <c r="H88" i="3"/>
  <c r="H86" i="3"/>
  <c r="H83" i="3"/>
  <c r="H82" i="3"/>
  <c r="H79" i="3"/>
  <c r="H188" i="3"/>
  <c r="H100" i="3"/>
  <c r="H27" i="3"/>
  <c r="F29" i="4"/>
  <c r="H200" i="3"/>
  <c r="H20" i="3"/>
  <c r="H176" i="3"/>
  <c r="H175" i="3"/>
  <c r="H46" i="3"/>
  <c r="H110" i="3"/>
  <c r="B5" i="4"/>
  <c r="H5" i="3"/>
  <c r="O104" i="2"/>
  <c r="J104" i="2"/>
  <c r="P104" i="2"/>
  <c r="K104" i="2"/>
  <c r="C28" i="4"/>
  <c r="K48" i="2"/>
  <c r="E28" i="4" s="1"/>
  <c r="J48" i="2"/>
  <c r="P48" i="2"/>
  <c r="Q48" i="2" s="1"/>
  <c r="O48" i="2"/>
  <c r="K47" i="2"/>
  <c r="P47" i="2"/>
  <c r="Q47" i="2" s="1"/>
  <c r="O47" i="2"/>
  <c r="J47" i="2"/>
  <c r="P46" i="2"/>
  <c r="Q46" i="2" s="1"/>
  <c r="O46" i="2"/>
  <c r="K46" i="2"/>
  <c r="J46" i="2"/>
  <c r="O45" i="2"/>
  <c r="K45" i="2"/>
  <c r="J45" i="2"/>
  <c r="P45" i="2"/>
  <c r="Q45" i="2" s="1"/>
  <c r="P44" i="2"/>
  <c r="Q44" i="2" s="1"/>
  <c r="K44" i="2"/>
  <c r="O44" i="2"/>
  <c r="J44" i="2"/>
  <c r="K43" i="2"/>
  <c r="O43" i="2"/>
  <c r="P43" i="2"/>
  <c r="Q43" i="2" s="1"/>
  <c r="J43" i="2"/>
  <c r="C27" i="4"/>
  <c r="P42" i="2"/>
  <c r="J42" i="2"/>
  <c r="K42" i="2"/>
  <c r="O42" i="2"/>
  <c r="J41" i="2"/>
  <c r="K41" i="2"/>
  <c r="O41" i="2"/>
  <c r="P41" i="2"/>
  <c r="Q41" i="2" s="1"/>
  <c r="O40" i="2"/>
  <c r="P40" i="2"/>
  <c r="Q40" i="2" s="1"/>
  <c r="K40" i="2"/>
  <c r="J40" i="2"/>
  <c r="K39" i="2"/>
  <c r="J39" i="2"/>
  <c r="O39" i="2"/>
  <c r="P39" i="2"/>
  <c r="Q39" i="2" s="1"/>
  <c r="J38" i="2"/>
  <c r="K38" i="2"/>
  <c r="O38" i="2"/>
  <c r="P38" i="2"/>
  <c r="Q38" i="2" s="1"/>
  <c r="P37" i="2"/>
  <c r="Q37" i="2" s="1"/>
  <c r="O37" i="2"/>
  <c r="K37" i="2"/>
  <c r="J37" i="2"/>
  <c r="J36" i="2"/>
  <c r="O36" i="2"/>
  <c r="P36" i="2"/>
  <c r="Q36" i="2" s="1"/>
  <c r="K36" i="2"/>
  <c r="P35" i="2"/>
  <c r="Q35" i="2" s="1"/>
  <c r="J35" i="2"/>
  <c r="K35" i="2"/>
  <c r="O35" i="2"/>
  <c r="C26" i="4"/>
  <c r="K34" i="2"/>
  <c r="O34" i="2"/>
  <c r="P34" i="2"/>
  <c r="Q34" i="2" s="1"/>
  <c r="J34" i="2"/>
  <c r="K33" i="2"/>
  <c r="O33" i="2"/>
  <c r="P33" i="2"/>
  <c r="J33" i="2"/>
  <c r="O32" i="2"/>
  <c r="K32" i="2"/>
  <c r="P32" i="2"/>
  <c r="Q32" i="2" s="1"/>
  <c r="J32" i="2"/>
  <c r="J31" i="2"/>
  <c r="K31" i="2"/>
  <c r="P31" i="2"/>
  <c r="Q31" i="2" s="1"/>
  <c r="O31" i="2"/>
  <c r="K30" i="2"/>
  <c r="O30" i="2"/>
  <c r="J30" i="2"/>
  <c r="P30" i="2"/>
  <c r="Q30" i="2" s="1"/>
  <c r="O29" i="2"/>
  <c r="P29" i="2"/>
  <c r="Q29" i="2" s="1"/>
  <c r="C25" i="4"/>
  <c r="J29" i="2"/>
  <c r="K29" i="2"/>
  <c r="J28" i="2"/>
  <c r="K28" i="2"/>
  <c r="O28" i="2"/>
  <c r="P28" i="2"/>
  <c r="K27" i="2"/>
  <c r="J27" i="2"/>
  <c r="O27" i="2"/>
  <c r="P27" i="2"/>
  <c r="Q27" i="2" s="1"/>
  <c r="O26" i="2"/>
  <c r="P26" i="2"/>
  <c r="Q26" i="2" s="1"/>
  <c r="J26" i="2"/>
  <c r="K26" i="2"/>
  <c r="J25" i="2"/>
  <c r="K25" i="2"/>
  <c r="P25" i="2"/>
  <c r="Q25" i="2" s="1"/>
  <c r="O25" i="2"/>
  <c r="J24" i="2"/>
  <c r="O24" i="2"/>
  <c r="K24" i="2"/>
  <c r="P24" i="2"/>
  <c r="Q24" i="2" s="1"/>
  <c r="C24" i="4"/>
  <c r="P23" i="2"/>
  <c r="Q23" i="2" s="1"/>
  <c r="O23" i="2"/>
  <c r="K23" i="2"/>
  <c r="J23" i="2"/>
  <c r="P22" i="2"/>
  <c r="Q22" i="2" s="1"/>
  <c r="O22" i="2"/>
  <c r="K22" i="2"/>
  <c r="J22" i="2"/>
  <c r="J21" i="2"/>
  <c r="P21" i="2"/>
  <c r="Q21" i="2" s="1"/>
  <c r="O21" i="2"/>
  <c r="K21" i="2"/>
  <c r="O20" i="2"/>
  <c r="J20" i="2"/>
  <c r="K20" i="2"/>
  <c r="P20" i="2"/>
  <c r="Q20" i="2" s="1"/>
  <c r="P19" i="2"/>
  <c r="Q19" i="2" s="1"/>
  <c r="J19" i="2"/>
  <c r="K19" i="2"/>
  <c r="O19" i="2"/>
  <c r="J18" i="2"/>
  <c r="K18" i="2"/>
  <c r="O18" i="2"/>
  <c r="P18" i="2"/>
  <c r="Q18" i="2" s="1"/>
  <c r="O17" i="2"/>
  <c r="K17" i="2"/>
  <c r="J17" i="2"/>
  <c r="P17" i="2"/>
  <c r="Q17" i="2" s="1"/>
  <c r="K16" i="2"/>
  <c r="C23" i="4"/>
  <c r="O16" i="2"/>
  <c r="P16" i="2"/>
  <c r="Q16" i="2" s="1"/>
  <c r="J16" i="2"/>
  <c r="O15" i="2"/>
  <c r="J15" i="2"/>
  <c r="K15" i="2"/>
  <c r="P15" i="2"/>
  <c r="Q15" i="2" s="1"/>
  <c r="P14" i="2"/>
  <c r="O14" i="2"/>
  <c r="K14" i="2"/>
  <c r="J14" i="2"/>
  <c r="O13" i="2"/>
  <c r="P13" i="2"/>
  <c r="Q13" i="2" s="1"/>
  <c r="K13" i="2"/>
  <c r="J13" i="2"/>
  <c r="K12" i="2"/>
  <c r="O12" i="2"/>
  <c r="J12" i="2"/>
  <c r="P12" i="2"/>
  <c r="Q12" i="2" s="1"/>
  <c r="J11" i="2"/>
  <c r="K11" i="2"/>
  <c r="O11" i="2"/>
  <c r="P11" i="2"/>
  <c r="Q11" i="2" s="1"/>
  <c r="O10" i="2"/>
  <c r="J10" i="2"/>
  <c r="K10" i="2"/>
  <c r="C22" i="4"/>
  <c r="P10" i="2"/>
  <c r="Q10" i="2" s="1"/>
  <c r="P9" i="2"/>
  <c r="Q9" i="2" s="1"/>
  <c r="O9" i="2"/>
  <c r="K9" i="2"/>
  <c r="J9" i="2"/>
  <c r="K8" i="2"/>
  <c r="O8" i="2"/>
  <c r="P8" i="2"/>
  <c r="Q8" i="2" s="1"/>
  <c r="J8" i="2"/>
  <c r="J7" i="2"/>
  <c r="P7" i="2"/>
  <c r="Q7" i="2" s="1"/>
  <c r="O7" i="2"/>
  <c r="K7" i="2"/>
  <c r="K6" i="2"/>
  <c r="O6" i="2"/>
  <c r="P6" i="2"/>
  <c r="Q6" i="2" s="1"/>
  <c r="J6" i="2"/>
  <c r="P5" i="2"/>
  <c r="Q5" i="2" s="1"/>
  <c r="C21" i="4"/>
  <c r="J5" i="2"/>
  <c r="K5" i="2"/>
  <c r="O5" i="2"/>
  <c r="L49" i="2" l="1"/>
  <c r="L82" i="2"/>
  <c r="L102" i="2"/>
  <c r="L99" i="2"/>
  <c r="L97" i="2"/>
  <c r="L95" i="2"/>
  <c r="L93" i="2"/>
  <c r="L92" i="2"/>
  <c r="L90" i="2"/>
  <c r="L88" i="2"/>
  <c r="L85" i="2"/>
  <c r="L83" i="2"/>
  <c r="L80" i="2"/>
  <c r="L78" i="2"/>
  <c r="L76" i="2"/>
  <c r="L74" i="2"/>
  <c r="L72" i="2"/>
  <c r="L70" i="2"/>
  <c r="L68" i="2"/>
  <c r="L66" i="2"/>
  <c r="L64" i="2"/>
  <c r="L62" i="2"/>
  <c r="L60" i="2"/>
  <c r="L58" i="2"/>
  <c r="L56" i="2"/>
  <c r="L54" i="2"/>
  <c r="L52" i="2"/>
  <c r="L50" i="2"/>
  <c r="L103" i="2"/>
  <c r="L101" i="2"/>
  <c r="L100" i="2"/>
  <c r="L98" i="2"/>
  <c r="L96" i="2"/>
  <c r="L94" i="2"/>
  <c r="L91" i="2"/>
  <c r="L89" i="2"/>
  <c r="L87" i="2"/>
  <c r="L86" i="2"/>
  <c r="L84" i="2"/>
  <c r="L81" i="2"/>
  <c r="L79" i="2"/>
  <c r="L77" i="2"/>
  <c r="L75" i="2"/>
  <c r="L73" i="2"/>
  <c r="L71" i="2"/>
  <c r="L69" i="2"/>
  <c r="L67" i="2"/>
  <c r="L65" i="2"/>
  <c r="L63" i="2"/>
  <c r="L61" i="2"/>
  <c r="L59" i="2"/>
  <c r="L57" i="2"/>
  <c r="L55" i="2"/>
  <c r="L53" i="2"/>
  <c r="L51" i="2"/>
  <c r="E25" i="4"/>
  <c r="E21" i="4"/>
  <c r="E27" i="4"/>
  <c r="E26" i="4"/>
  <c r="E24" i="4"/>
  <c r="E22" i="4"/>
  <c r="E23" i="4"/>
  <c r="F5" i="4"/>
  <c r="D5" i="4"/>
  <c r="L104" i="2"/>
  <c r="R104" i="2"/>
  <c r="L48" i="2"/>
  <c r="R48" i="2"/>
  <c r="D28" i="4"/>
  <c r="F28" i="4" s="1"/>
  <c r="L47" i="2"/>
  <c r="R47" i="2"/>
  <c r="L46" i="2"/>
  <c r="R46" i="2"/>
  <c r="L45" i="2"/>
  <c r="R45" i="2"/>
  <c r="L44" i="2"/>
  <c r="R44" i="2"/>
  <c r="R43" i="2"/>
  <c r="L43" i="2"/>
  <c r="D27" i="4"/>
  <c r="L42" i="2"/>
  <c r="R42" i="2"/>
  <c r="L41" i="2"/>
  <c r="R41" i="2"/>
  <c r="L40" i="2"/>
  <c r="R40" i="2"/>
  <c r="L39" i="2"/>
  <c r="R39" i="2"/>
  <c r="L38" i="2"/>
  <c r="R38" i="2"/>
  <c r="L37" i="2"/>
  <c r="R37" i="2"/>
  <c r="L36" i="2"/>
  <c r="R36" i="2"/>
  <c r="L35" i="2"/>
  <c r="R35" i="2"/>
  <c r="L34" i="2"/>
  <c r="R34" i="2"/>
  <c r="D26" i="4"/>
  <c r="L33" i="2"/>
  <c r="R33" i="2"/>
  <c r="L32" i="2"/>
  <c r="R32" i="2"/>
  <c r="L31" i="2"/>
  <c r="R31" i="2"/>
  <c r="L30" i="2"/>
  <c r="R30" i="2"/>
  <c r="L29" i="2"/>
  <c r="R29" i="2"/>
  <c r="D25" i="4"/>
  <c r="L28" i="2"/>
  <c r="R28" i="2"/>
  <c r="L27" i="2"/>
  <c r="R27" i="2"/>
  <c r="L26" i="2"/>
  <c r="R26" i="2"/>
  <c r="L25" i="2"/>
  <c r="R25" i="2"/>
  <c r="L24" i="2"/>
  <c r="R24" i="2"/>
  <c r="L23" i="2"/>
  <c r="R23" i="2"/>
  <c r="D24" i="4"/>
  <c r="L22" i="2"/>
  <c r="R22" i="2"/>
  <c r="L21" i="2"/>
  <c r="R21" i="2"/>
  <c r="L20" i="2"/>
  <c r="R20" i="2"/>
  <c r="R19" i="2"/>
  <c r="L19" i="2"/>
  <c r="L18" i="2"/>
  <c r="R18" i="2"/>
  <c r="L17" i="2"/>
  <c r="R17" i="2"/>
  <c r="L16" i="2"/>
  <c r="R16" i="2"/>
  <c r="D23" i="4"/>
  <c r="L15" i="2"/>
  <c r="R15" i="2"/>
  <c r="L14" i="2"/>
  <c r="R14" i="2"/>
  <c r="L13" i="2"/>
  <c r="R13" i="2"/>
  <c r="L12" i="2"/>
  <c r="R12" i="2"/>
  <c r="L11" i="2"/>
  <c r="R11" i="2"/>
  <c r="L10" i="2"/>
  <c r="R10" i="2"/>
  <c r="D22" i="4"/>
  <c r="L9" i="2"/>
  <c r="R9" i="2"/>
  <c r="L8" i="2"/>
  <c r="R8" i="2"/>
  <c r="L7" i="2"/>
  <c r="R7" i="2"/>
  <c r="L6" i="2"/>
  <c r="R6" i="2"/>
  <c r="L5" i="2"/>
  <c r="R5" i="2"/>
  <c r="D21" i="4"/>
  <c r="D34" i="4"/>
  <c r="D8" i="4"/>
  <c r="F8" i="4"/>
  <c r="D35" i="4"/>
  <c r="F25" i="4" l="1"/>
  <c r="F26" i="4"/>
  <c r="F21" i="4"/>
  <c r="F27" i="4"/>
  <c r="F24" i="4"/>
  <c r="F22" i="4"/>
  <c r="F23" i="4"/>
  <c r="M22" i="2"/>
  <c r="N22" i="2" s="1"/>
  <c r="M21" i="2"/>
  <c r="N21" i="2" s="1"/>
  <c r="M20" i="2"/>
  <c r="N20" i="2" s="1"/>
  <c r="M19" i="2"/>
  <c r="N19" i="2" s="1"/>
  <c r="M18" i="2"/>
  <c r="N18" i="2" s="1"/>
  <c r="M17" i="2"/>
  <c r="N17" i="2" s="1"/>
  <c r="M16" i="2"/>
  <c r="N16" i="2" s="1"/>
  <c r="M15" i="2"/>
  <c r="N15" i="2" s="1"/>
  <c r="M14" i="2"/>
  <c r="N14" i="2" s="1"/>
  <c r="M13" i="2"/>
  <c r="N13" i="2" s="1"/>
  <c r="M12" i="2"/>
  <c r="N12" i="2" s="1"/>
  <c r="M11" i="2"/>
  <c r="N11" i="2" s="1"/>
  <c r="M10" i="2"/>
  <c r="N10" i="2" s="1"/>
  <c r="M9" i="2"/>
  <c r="N9" i="2" s="1"/>
  <c r="M8" i="2"/>
  <c r="N8" i="2" s="1"/>
  <c r="M7" i="2"/>
  <c r="N7" i="2" s="1"/>
  <c r="M6" i="2"/>
  <c r="N6" i="2" s="1"/>
  <c r="M24" i="2"/>
  <c r="N24" i="2" s="1"/>
  <c r="M5" i="2"/>
  <c r="N5" i="2" s="1"/>
  <c r="M27" i="2"/>
  <c r="N27" i="2" s="1"/>
  <c r="M41" i="2"/>
  <c r="N41" i="2" s="1"/>
  <c r="M38" i="2"/>
  <c r="N38" i="2" s="1"/>
  <c r="M35" i="2"/>
  <c r="N35" i="2" s="1"/>
  <c r="M33" i="2"/>
  <c r="N33" i="2" s="1"/>
  <c r="M104" i="2"/>
  <c r="N104" i="2" s="1"/>
  <c r="M48" i="2"/>
  <c r="N48" i="2" s="1"/>
  <c r="M47" i="2"/>
  <c r="N47" i="2" s="1"/>
  <c r="M46" i="2"/>
  <c r="N46" i="2" s="1"/>
  <c r="M45" i="2"/>
  <c r="N45" i="2" s="1"/>
  <c r="M44" i="2"/>
  <c r="N44" i="2" s="1"/>
  <c r="M43" i="2"/>
  <c r="N43" i="2" s="1"/>
  <c r="M42" i="2"/>
  <c r="N42" i="2" s="1"/>
  <c r="M40" i="2"/>
  <c r="N40" i="2" s="1"/>
  <c r="M39" i="2"/>
  <c r="N39" i="2" s="1"/>
  <c r="M37" i="2"/>
  <c r="N37" i="2" s="1"/>
  <c r="M36" i="2"/>
  <c r="N36" i="2" s="1"/>
  <c r="M34" i="2"/>
  <c r="N34" i="2" s="1"/>
  <c r="M32" i="2"/>
  <c r="N32" i="2" s="1"/>
  <c r="M31" i="2"/>
  <c r="N31" i="2" s="1"/>
  <c r="M30" i="2"/>
  <c r="N30" i="2" s="1"/>
  <c r="M29" i="2"/>
  <c r="N29" i="2" s="1"/>
  <c r="M28" i="2"/>
  <c r="N28" i="2" s="1"/>
  <c r="M26" i="2"/>
  <c r="N26" i="2" s="1"/>
  <c r="M25" i="2"/>
  <c r="N25" i="2" s="1"/>
  <c r="M23" i="2"/>
  <c r="N23" i="2" s="1"/>
  <c r="E15" i="4" l="1"/>
  <c r="D15" i="4"/>
  <c r="C15" i="4"/>
  <c r="F14" i="4"/>
  <c r="E13" i="4"/>
  <c r="D13" i="4"/>
  <c r="C13" i="4"/>
  <c r="D36" i="4"/>
  <c r="F15" i="4"/>
  <c r="E14" i="4"/>
  <c r="D14" i="4"/>
  <c r="C14" i="4"/>
  <c r="F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Viviana Daconte</author>
  </authors>
  <commentList>
    <comment ref="N4" authorId="0" shapeId="0" xr:uid="{0AC5F76A-6E32-452D-BC8C-6A67C5AD8897}">
      <text>
        <r>
          <rPr>
            <b/>
            <sz val="9"/>
            <color indexed="81"/>
            <rFont val="Tahoma"/>
            <family val="2"/>
          </rPr>
          <t>ADIMCLO:</t>
        </r>
        <r>
          <rPr>
            <sz val="9"/>
            <color indexed="81"/>
            <rFont val="Tahoma"/>
            <family val="2"/>
          </rPr>
          <t xml:space="preserve">
Clase A = el 20% de SKU que más venden; B = el 30% siguiente; C = el 50% restante. En el tablero verá qué porcentaje de la venta concentra cada clase</t>
        </r>
      </text>
    </comment>
    <comment ref="O4" authorId="0" shapeId="0" xr:uid="{3E729824-9CDC-41FD-A585-F1C1ED42BA8A}">
      <text>
        <r>
          <rPr>
            <b/>
            <sz val="9"/>
            <color indexed="81"/>
            <rFont val="Tahoma"/>
            <family val="2"/>
          </rPr>
          <t>ADIMCLO:</t>
        </r>
        <r>
          <rPr>
            <sz val="9"/>
            <color indexed="81"/>
            <rFont val="Tahoma"/>
            <family val="2"/>
          </rPr>
          <t xml:space="preserve">
«Días de cobertura» = cuántos días le dura el stock actual al ritmo de venta del periodo.</t>
        </r>
      </text>
    </comment>
  </commentList>
</comments>
</file>

<file path=xl/sharedStrings.xml><?xml version="1.0" encoding="utf-8"?>
<sst xmlns="http://schemas.openxmlformats.org/spreadsheetml/2006/main" count="529" uniqueCount="226">
  <si>
    <t>ADIMCLO  ·  ABC de Inventario y Punto de Reorden · Ferretería y papelería</t>
  </si>
  <si>
    <t>Plantilla gratuita ADIMCLO · Analítica de datos para el comercio minorista en Colombia</t>
  </si>
  <si>
    <t>Usted maneja miles de referencias y no todas merecen la misma atención. Esta plantilla separa el 20% de SKU que le deja el 80% de la venta, le dice cuáles reponer esta semana y cuánto capital tiene atrapado en lo que no rota.</t>
  </si>
  <si>
    <t>1. Ajuste los parámetros</t>
  </si>
  <si>
    <t>Abajo, en «Parámetros»: días del periodo que va a analizar, plazo de entrega de su proveedor y días de stock de seguridad.</t>
  </si>
  <si>
    <t>2. Cargue su inventario</t>
  </si>
  <si>
    <t>Hoja «Inventario»: SKU, descripción, línea, proveedor, costo, precio y stock actual.</t>
  </si>
  <si>
    <t>3. Registre las salidas</t>
  </si>
  <si>
    <t>Hoja «Movimientos»: fecha, SKU y cantidad vendida.</t>
  </si>
  <si>
    <t>4. Lea el tablero</t>
  </si>
  <si>
    <t>Hoja «Tablero»: clase ABC, días de cobertura, qué comprar y qué dejar de comprar.</t>
  </si>
  <si>
    <t>Días del periodo analizado</t>
  </si>
  <si>
    <t>Plazo de entrega del proveedor (días)</t>
  </si>
  <si>
    <t>Stock de seguridad (días)</t>
  </si>
  <si>
    <t>Estos tres números alimentan el cálculo de cobertura y punto de reorden en la hoja «Inventario».</t>
  </si>
  <si>
    <t>ADIMCLO  ·  Inventario y clasificación ABC</t>
  </si>
  <si>
    <t>SKU</t>
  </si>
  <si>
    <t>Descripción</t>
  </si>
  <si>
    <t>Línea</t>
  </si>
  <si>
    <t>Proveedor</t>
  </si>
  <si>
    <t>Costo unitario</t>
  </si>
  <si>
    <t>Precio de venta</t>
  </si>
  <si>
    <t>Margen %</t>
  </si>
  <si>
    <t>Stock actual</t>
  </si>
  <si>
    <t>Unidades vendidas</t>
  </si>
  <si>
    <t>Venta valorizada</t>
  </si>
  <si>
    <t>Margen acumulado</t>
  </si>
  <si>
    <t>% de la venta</t>
  </si>
  <si>
    <t>Ranking por venta</t>
  </si>
  <si>
    <t>Clase ABC</t>
  </si>
  <si>
    <t>Días de cobertura</t>
  </si>
  <si>
    <t>Punto de reorden</t>
  </si>
  <si>
    <t>Alerta de compra</t>
  </si>
  <si>
    <t>FER-001</t>
  </si>
  <si>
    <t>Tornillo autoperforante 8x1" (unidad)</t>
  </si>
  <si>
    <t>Fijaciones</t>
  </si>
  <si>
    <t>Ferrimport S.A.S.</t>
  </si>
  <si>
    <t>FER-002</t>
  </si>
  <si>
    <t>Tornillo drywall 6x1 1/4" (unidad)</t>
  </si>
  <si>
    <t>Papeles del Norte</t>
  </si>
  <si>
    <t>FER-003</t>
  </si>
  <si>
    <t>Chazo plástico 3/8" (unidad)</t>
  </si>
  <si>
    <t>Suministros Bolívar</t>
  </si>
  <si>
    <t>FER-004</t>
  </si>
  <si>
    <t>Puntilla 2" libra</t>
  </si>
  <si>
    <t>Química Industrial Ltda.</t>
  </si>
  <si>
    <t>FER-005</t>
  </si>
  <si>
    <t>Tuerca hexagonal 1/4" (unidad)</t>
  </si>
  <si>
    <t>Distribuidora Andina</t>
  </si>
  <si>
    <t>FER-006</t>
  </si>
  <si>
    <t>Martillo carpintero 16 oz</t>
  </si>
  <si>
    <t>Herramienta manual</t>
  </si>
  <si>
    <t>FER-007</t>
  </si>
  <si>
    <t>Destornillador estrella #2</t>
  </si>
  <si>
    <t>FER-008</t>
  </si>
  <si>
    <t>Alicate universal 8"</t>
  </si>
  <si>
    <t>FER-009</t>
  </si>
  <si>
    <t>Llave expansiva 10"</t>
  </si>
  <si>
    <t>FER-010</t>
  </si>
  <si>
    <t>Serrucho 20"</t>
  </si>
  <si>
    <t>FER-011</t>
  </si>
  <si>
    <t>Metro flexible 5 m</t>
  </si>
  <si>
    <t>FER-012</t>
  </si>
  <si>
    <t>Pintura vinilo tipo 1 galón blanco</t>
  </si>
  <si>
    <t>Pinturas</t>
  </si>
  <si>
    <t>FER-013</t>
  </si>
  <si>
    <t>Pintura vinilo tipo 1 galón colores</t>
  </si>
  <si>
    <t>FER-014</t>
  </si>
  <si>
    <t>Esmalte sintético 1/4 galón</t>
  </si>
  <si>
    <t>FER-015</t>
  </si>
  <si>
    <t>Brocha 3"</t>
  </si>
  <si>
    <t>FER-016</t>
  </si>
  <si>
    <t>Rodillo felpa 9" con mango</t>
  </si>
  <si>
    <t>FER-017</t>
  </si>
  <si>
    <t>Lija agua #150 (pliego)</t>
  </si>
  <si>
    <t>FER-018</t>
  </si>
  <si>
    <t>Thinner corriente litro</t>
  </si>
  <si>
    <t>FER-019</t>
  </si>
  <si>
    <t>Cable dúplex 2x14 (metro)</t>
  </si>
  <si>
    <t>Eléctricos</t>
  </si>
  <si>
    <t>FER-020</t>
  </si>
  <si>
    <t>Interruptor sencillo</t>
  </si>
  <si>
    <t>FER-021</t>
  </si>
  <si>
    <t>Toma doble con polo a tierra</t>
  </si>
  <si>
    <t>FER-022</t>
  </si>
  <si>
    <t>Bombillo LED 9 W</t>
  </si>
  <si>
    <t>FER-023</t>
  </si>
  <si>
    <t>Cinta aislante 18 m</t>
  </si>
  <si>
    <t>FER-024</t>
  </si>
  <si>
    <t>Breaker 20 A enchufable</t>
  </si>
  <si>
    <t>FER-025</t>
  </si>
  <si>
    <t>Tubo PVC 1/2" x 3 m</t>
  </si>
  <si>
    <t>Plomería</t>
  </si>
  <si>
    <t>FER-026</t>
  </si>
  <si>
    <t>Codo PVC 1/2" 90°</t>
  </si>
  <si>
    <t>FER-027</t>
  </si>
  <si>
    <t>Teflón 1/2" rollo</t>
  </si>
  <si>
    <t>FER-028</t>
  </si>
  <si>
    <t>Sifón lavaplatos</t>
  </si>
  <si>
    <t>FER-029</t>
  </si>
  <si>
    <t>Llave terminal lavamanos</t>
  </si>
  <si>
    <t>FER-030</t>
  </si>
  <si>
    <t>Resma papel carta 75 g</t>
  </si>
  <si>
    <t>Papelería</t>
  </si>
  <si>
    <t>FER-031</t>
  </si>
  <si>
    <t>Resma papel oficio 75 g</t>
  </si>
  <si>
    <t>FER-032</t>
  </si>
  <si>
    <t>Cuaderno cuadriculado 100 hojas</t>
  </si>
  <si>
    <t>FER-033</t>
  </si>
  <si>
    <t>Lapicero tinta negra (unidad)</t>
  </si>
  <si>
    <t>FER-034</t>
  </si>
  <si>
    <t>Marcador borrable (unidad)</t>
  </si>
  <si>
    <t>FER-035</t>
  </si>
  <si>
    <t>Carpeta legajadora (unidad)</t>
  </si>
  <si>
    <t>FER-036</t>
  </si>
  <si>
    <t>Cinta pegante 48 mm</t>
  </si>
  <si>
    <t>FER-037</t>
  </si>
  <si>
    <t>Tijera oficina 8"</t>
  </si>
  <si>
    <t>FER-038</t>
  </si>
  <si>
    <t>Calculadora científica</t>
  </si>
  <si>
    <t>FER-039</t>
  </si>
  <si>
    <t>Escoba plástica con cabo</t>
  </si>
  <si>
    <t>Aseo</t>
  </si>
  <si>
    <t>FER-040</t>
  </si>
  <si>
    <t>Trapero industrial</t>
  </si>
  <si>
    <t>FER-041</t>
  </si>
  <si>
    <t>Guantes de nitrilo (par)</t>
  </si>
  <si>
    <t>FER-042</t>
  </si>
  <si>
    <t>Bolsa basura 55x60 x10 und</t>
  </si>
  <si>
    <t>FER-043</t>
  </si>
  <si>
    <t>Detergente industrial 1 kg</t>
  </si>
  <si>
    <t>FER-044</t>
  </si>
  <si>
    <t>Candado 40 mm</t>
  </si>
  <si>
    <t>Seguridad</t>
  </si>
  <si>
    <t>FER-045</t>
  </si>
  <si>
    <t>Extintor multipropósito 10 lb</t>
  </si>
  <si>
    <t>ADIMCLO  ·  Movimientos de salida (ventas)</t>
  </si>
  <si>
    <t>Fecha</t>
  </si>
  <si>
    <t>Cantidad</t>
  </si>
  <si>
    <t>Precio unitario</t>
  </si>
  <si>
    <t>Venta total</t>
  </si>
  <si>
    <t>Costo total</t>
  </si>
  <si>
    <t>Margen $</t>
  </si>
  <si>
    <t>FERRETERÍA Y PAPELERÍA  ·  Tablero de control</t>
  </si>
  <si>
    <t>Se actualiza solo a medida que registra movimientos de inventario. Los parámetros están en la hoja Inicio.</t>
  </si>
  <si>
    <t>VENTA DEL PERIODO</t>
  </si>
  <si>
    <t>MARGEN BRUTO ($)</t>
  </si>
  <si>
    <t>MARGEN BRUTO (%)</t>
  </si>
  <si>
    <t>VALOR DEL INVENTARIO (A COSTO)</t>
  </si>
  <si>
    <t>SKU POR COMPRAR YA</t>
  </si>
  <si>
    <t>SKU SIN ROTACIÓN</t>
  </si>
  <si>
    <t>Clasificación ABC del inventario</t>
  </si>
  <si>
    <t>Clase</t>
  </si>
  <si>
    <t>Nº de SKU</t>
  </si>
  <si>
    <t>Venta</t>
  </si>
  <si>
    <t>Capital a costo</t>
  </si>
  <si>
    <t>Qué hacer</t>
  </si>
  <si>
    <t>A</t>
  </si>
  <si>
    <t>El 20% de SKU que más venden. Nunca se pueden agotar. Negocie precio con el proveedor y revise el punto de reorden cada semana.</t>
  </si>
  <si>
    <t>B</t>
  </si>
  <si>
    <t>El 30% siguiente. Reposición normal. Vigile si alguno está subiendo para tratarlo como A.</t>
  </si>
  <si>
    <t>C</t>
  </si>
  <si>
    <t>La mitad del catálogo que casi no vende. Reduzca stock, pida bajo pedido o descontinúe.</t>
  </si>
  <si>
    <t>Desempeño por línea</t>
  </si>
  <si>
    <t>Escriba en amarillo las líneas que usó en el inventario (Fijaciones, Pinturas, Papelería...).</t>
  </si>
  <si>
    <t>Unidades</t>
  </si>
  <si>
    <t>Alertas de compra y capital</t>
  </si>
  <si>
    <t>Indicador</t>
  </si>
  <si>
    <t>Valor</t>
  </si>
  <si>
    <t>SKU en o por debajo del punto de reorden</t>
  </si>
  <si>
    <t>Capital atrapado en SKU sin rotación</t>
  </si>
  <si>
    <t>Capital en clase C (candidato a liberar)</t>
  </si>
  <si>
    <t>SKU cargados en el inventario</t>
  </si>
  <si>
    <t>Lo que este Excel NO puede hacer por usted →  ver hoja «Servicios ADIMCLO»</t>
  </si>
  <si>
    <t>· Manejar 8.000 referencias: a partir de cierto punto el Excel se vuelve lento y frágil.</t>
  </si>
  <si>
    <t>· Generar la orden de compra por proveedor con las cantidades ya calculadas.</t>
  </si>
  <si>
    <t>· Ajustar el punto de reorden por estacionalidad (temporada escolar, obra, diciembre).</t>
  </si>
  <si>
    <t>· Detectar el faltante de inventario cruzando compras, ventas y conteo físico.</t>
  </si>
  <si>
    <t>ADIMCLO · Consultoría en datos, estrategia empresarial, arquitectura, integración y automatización     ·     Prototipo de demostración con datos de ejemplo.</t>
  </si>
  <si>
    <t>ADIMCLO  ·  ¿Y si esto lo hiciera solo, con todo su catálogo?</t>
  </si>
  <si>
    <t>Esta plantilla es un prototipo. Sirve para ver el número una vez; no para sostener miles de referencias.</t>
  </si>
  <si>
    <t>Con 150 referencias usted ya vio cuáles sostienen el negocio, cuáles están en punto de reorden y dónde tiene el capital dormido.
Ahora multiplique eso por su catálogo completo. Una ferretería maneja miles de SKU con proveedores distintos, empaques distintos y una demanda que cambia con la temporada escolar y con la obra del barrio. Eso ya no lo sostiene un archivo.</t>
  </si>
  <si>
    <t>LO QUE UN EXCEL NO PUEDE HACER POR USTED</t>
  </si>
  <si>
    <t>·</t>
  </si>
  <si>
    <t>Leer las entradas y salidas del POS sin que nadie las transcriba.</t>
  </si>
  <si>
    <t>Manejar miles de referencias sin volverse lento y frágil.</t>
  </si>
  <si>
    <t>Armar la orden de compra por proveedor con las cantidades ya calculadas.</t>
  </si>
  <si>
    <t>Mover el punto de reorden solo, según la temporada escolar o la obra grande del mes.</t>
  </si>
  <si>
    <t>Detectar el faltante cruzando compras, ventas y conteo físico.</t>
  </si>
  <si>
    <t>Comparar el precio del mismo artículo entre proveedores a lo largo del año.</t>
  </si>
  <si>
    <t>NUESTROS SERVICIOS, APLICADOS A SU NEGOCIO</t>
  </si>
  <si>
    <t>Servicio</t>
  </si>
  <si>
    <t>Qué resuelve en su operación</t>
  </si>
  <si>
    <t>Unidad</t>
  </si>
  <si>
    <t>MINERÍA</t>
  </si>
  <si>
    <t>Unifica el POS, el archivo de compras y las listas de precios de cada proveedor, resolviendo que el mismo tornillo tenga un solo código.</t>
  </si>
  <si>
    <t>01 · Analítica</t>
  </si>
  <si>
    <t>REPORTERÍA</t>
  </si>
  <si>
    <t>Clasificación ABC, capital dormido y alertas de reorden actualizadas solas, sin que nadie arme el Excel cada lunes.</t>
  </si>
  <si>
    <t>PRONÓSTICO</t>
  </si>
  <si>
    <t>Proyecta la demanda por línea reconociendo la estacionalidad —útiles en enero, pintura en diciembre— para comprar antes del pico, no durante.</t>
  </si>
  <si>
    <t>RETAIL</t>
  </si>
  <si>
    <t>Identifica en qué referencias hay margen para ajustar precio sin perder al cliente, y cuáles conviene descontinuar o pedir bajo pedido.</t>
  </si>
  <si>
    <t>ENGRANAJE</t>
  </si>
  <si>
    <t>Genera la orden de compra por proveedor cada semana, con cantidades calculadas, y avisa cuando un artículo cruza su punto de reorden.</t>
  </si>
  <si>
    <t>04 · Desarrollo</t>
  </si>
  <si>
    <t>SINAPSIS</t>
  </si>
  <si>
    <t>Conecta el POS con el inventario y con la contabilidad, para que la venta descuente existencias en el momento en que ocurre.</t>
  </si>
  <si>
    <t>03 · Arquitectura</t>
  </si>
  <si>
    <t>CAUCE</t>
  </si>
  <si>
    <t>Ordena el proceso de compras y el conteo cíclico: qué se cuenta, cada cuánto y quién responde, para que el faltante deje de aparecer solo en el inventario anual.</t>
  </si>
  <si>
    <t>02 · Consultoría</t>
  </si>
  <si>
    <t>Elaborado por ADIMCLO · Consultoría en datos, estrategia empresarial, arquitectura, integración y automatización</t>
  </si>
  <si>
    <t>CÓMO USARLA</t>
  </si>
  <si>
    <t>PARÁMETROS</t>
  </si>
  <si>
    <t>CONVENCIÓN DE COLORES</t>
  </si>
  <si>
    <t>Amarillo con texto azul</t>
  </si>
  <si>
    <t>Usted escribe aquí</t>
  </si>
  <si>
    <t>Azul claro</t>
  </si>
  <si>
    <t>Lo calcula la plantilla: no escribir</t>
  </si>
  <si>
    <t>Blanco</t>
  </si>
  <si>
    <t>Dato que usted carga en las hojas de datos</t>
  </si>
  <si>
    <t>IMPORTANTE — qué es y qué no es esta plantilla
Es un prototipo para que usted vea sus propios números con el mínimo esfuerzo. Funciona bien con un mes de registro y un catálogo de hasta doscientos productos. No reemplaza un POS ni se conecta a su caja: cada dato se escribe a mano, y por eso no es sostenible como práctica mensual. La hoja «Servicios ADIMCLO» explica qué se necesita para automatizarlo.</t>
  </si>
  <si>
    <t>Los datos aquí registrados son de ejemplo; borrelos y reemplacelos con su información. Escriba solo en las columnas amarillas.</t>
  </si>
  <si>
    <t>Los datos aquí registrados son de ejemplo; borrelos y reemplacelos con su información. Escriba fecha, SKU y cantidad.</t>
  </si>
  <si>
    <t>Escríbanos y revisamos juntos su tablero
comercial@adimclo.com   ·   +57 315 368 2262   ·   www.adimclo.com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</si>
</sst>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;&quot;($&quot;#,##0\);\-"/>
    <numFmt numFmtId="165" formatCode="0.0%"/>
    <numFmt numFmtId="166" formatCode="#,##0;;;"/>
    <numFmt numFmtId="167" formatCode="\$#,##0;&quot;($&quot;#,##0\);;"/>
    <numFmt numFmtId="168" formatCode="dd/mm/yyyy"/>
    <numFmt numFmtId="169" formatCode="&quot;$&quot;#,##0"/>
  </numFmts>
  <fonts count="47" x14ac:knownFonts="1">
    <font>
      <sz val="11"/>
      <color theme="1"/>
      <name val="Calibri"/>
      <family val="2"/>
      <charset val="1"/>
    </font>
    <font>
      <sz val="10"/>
      <color rgb="FFFFFFFF"/>
      <name val="Aptos Display"/>
      <family val="2"/>
    </font>
    <font>
      <b/>
      <sz val="17"/>
      <color rgb="FFFFFFFF"/>
      <name val="Aptos Display"/>
      <family val="2"/>
    </font>
    <font>
      <sz val="11"/>
      <color theme="1"/>
      <name val="Aptos Display"/>
      <family val="2"/>
    </font>
    <font>
      <b/>
      <sz val="8.5"/>
      <color rgb="FF9BA8D4"/>
      <name val="Aptos Display"/>
      <family val="2"/>
    </font>
    <font>
      <b/>
      <sz val="20"/>
      <color rgb="FFFFFFFF"/>
      <name val="Aptos Display"/>
      <family val="2"/>
    </font>
    <font>
      <b/>
      <sz val="12"/>
      <color rgb="FFFFFFFF"/>
      <name val="Aptos Display"/>
      <family val="2"/>
    </font>
    <font>
      <sz val="9.5"/>
      <color rgb="FFFFFFFF"/>
      <name val="Aptos Display"/>
      <family val="2"/>
    </font>
    <font>
      <b/>
      <sz val="9.5"/>
      <color rgb="FFFFFFFF"/>
      <name val="Aptos Display"/>
      <family val="2"/>
    </font>
    <font>
      <sz val="8.5"/>
      <color rgb="FF6B7AB0"/>
      <name val="Aptos Display"/>
      <family val="2"/>
    </font>
    <font>
      <sz val="10"/>
      <color rgb="FF0000FF"/>
      <name val="Aptos Display"/>
      <family val="2"/>
    </font>
    <font>
      <b/>
      <sz val="14"/>
      <color rgb="FFFFFFFF"/>
      <name val="Aptos Display"/>
      <family val="2"/>
    </font>
    <font>
      <sz val="9"/>
      <color rgb="FF000000"/>
      <name val="Aptos Display"/>
      <family val="2"/>
    </font>
    <font>
      <b/>
      <sz val="9"/>
      <color rgb="FFFFFFFF"/>
      <name val="Aptos Display"/>
      <family val="2"/>
    </font>
    <font>
      <i/>
      <sz val="8"/>
      <color rgb="FF6B7280"/>
      <name val="Aptos Display"/>
      <family val="2"/>
    </font>
    <font>
      <sz val="9"/>
      <name val="Aptos Display"/>
      <family val="2"/>
    </font>
    <font>
      <sz val="11"/>
      <name val="Aptos Display"/>
      <family val="2"/>
    </font>
    <font>
      <b/>
      <sz val="11"/>
      <name val="Aptos Display"/>
      <family val="2"/>
    </font>
    <font>
      <b/>
      <u/>
      <sz val="11"/>
      <color rgb="FF1F3864"/>
      <name val="Aptos Display"/>
      <family val="2"/>
    </font>
    <font>
      <sz val="11"/>
      <color rgb="FF000000"/>
      <name val="Aptos Display"/>
      <family val="2"/>
    </font>
    <font>
      <b/>
      <sz val="11"/>
      <color rgb="FF000000"/>
      <name val="Aptos Display"/>
      <family val="2"/>
    </font>
    <font>
      <sz val="12"/>
      <color rgb="FF0000FF"/>
      <name val="Aptos Display"/>
      <family val="2"/>
    </font>
    <font>
      <sz val="12"/>
      <name val="Aptos Display"/>
      <family val="2"/>
    </font>
    <font>
      <b/>
      <sz val="10"/>
      <color rgb="FF6B4C12"/>
      <name val="Aptos Display"/>
      <family val="2"/>
    </font>
    <font>
      <b/>
      <sz val="10"/>
      <color theme="1"/>
      <name val="Aptos Display"/>
      <family val="2"/>
    </font>
    <font>
      <i/>
      <sz val="9"/>
      <name val="Aptos Display"/>
      <family val="2"/>
    </font>
    <font>
      <i/>
      <sz val="11"/>
      <name val="Aptos Display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0"/>
      <name val="Aptos Display"/>
      <family val="2"/>
    </font>
    <font>
      <sz val="10"/>
      <color rgb="FF1F2A44"/>
      <name val="Aptos Display"/>
      <family val="2"/>
    </font>
    <font>
      <b/>
      <sz val="11"/>
      <color rgb="FF1F3864"/>
      <name val="Aptos Display"/>
      <family val="2"/>
    </font>
    <font>
      <sz val="10"/>
      <color rgb="FF0B7A8C"/>
      <name val="Aptos Display"/>
      <family val="2"/>
    </font>
    <font>
      <sz val="11"/>
      <color rgb="FF1F2A44"/>
      <name val="Aptos Display"/>
      <family val="2"/>
    </font>
    <font>
      <b/>
      <sz val="10"/>
      <color rgb="FF0B7A8C"/>
      <name val="Aptos Display"/>
      <family val="2"/>
    </font>
    <font>
      <sz val="11"/>
      <color rgb="FF767DAE"/>
      <name val="Aptos Display"/>
      <family val="2"/>
    </font>
    <font>
      <b/>
      <sz val="14"/>
      <color rgb="FF1F3864"/>
      <name val="Aptos Display"/>
      <family val="2"/>
    </font>
    <font>
      <sz val="14"/>
      <color theme="1"/>
      <name val="Aptos Display"/>
      <family val="2"/>
    </font>
    <font>
      <i/>
      <sz val="9"/>
      <color rgb="FF767DAE"/>
      <name val="Aptos Display"/>
      <family val="2"/>
    </font>
    <font>
      <b/>
      <sz val="9"/>
      <color theme="0"/>
      <name val="Aptos Display"/>
      <family val="2"/>
    </font>
    <font>
      <b/>
      <sz val="10"/>
      <color theme="0"/>
      <name val="Aptos Display"/>
      <family val="2"/>
    </font>
    <font>
      <sz val="9.5"/>
      <name val="Aptos Display"/>
      <family val="2"/>
    </font>
    <font>
      <b/>
      <sz val="9.5"/>
      <name val="Aptos Display"/>
      <family val="2"/>
    </font>
    <font>
      <sz val="10"/>
      <name val="Aptos Display"/>
      <family val="2"/>
    </font>
    <font>
      <sz val="10"/>
      <color theme="0"/>
      <name val="Aptos Display"/>
      <family val="2"/>
    </font>
    <font>
      <b/>
      <sz val="10"/>
      <name val="Aptos Display"/>
      <family val="2"/>
    </font>
    <font>
      <b/>
      <sz val="11"/>
      <color rgb="FF002060"/>
      <name val="Aptos Display"/>
      <family val="2"/>
    </font>
  </fonts>
  <fills count="23">
    <fill>
      <patternFill patternType="none"/>
    </fill>
    <fill>
      <patternFill patternType="gray125"/>
    </fill>
    <fill>
      <patternFill patternType="solid">
        <fgColor rgb="FF14324F"/>
        <bgColor rgb="FF333333"/>
      </patternFill>
    </fill>
    <fill>
      <patternFill patternType="solid">
        <fgColor rgb="FF070E33"/>
      </patternFill>
    </fill>
    <fill>
      <patternFill patternType="solid">
        <fgColor rgb="FF111C52"/>
      </patternFill>
    </fill>
    <fill>
      <patternFill patternType="solid">
        <fgColor rgb="FF00D9B2"/>
      </patternFill>
    </fill>
    <fill>
      <patternFill patternType="solid">
        <fgColor rgb="FF4C8DFF"/>
      </patternFill>
    </fill>
    <fill>
      <patternFill patternType="solid">
        <fgColor rgb="FFFFB020"/>
      </patternFill>
    </fill>
    <fill>
      <patternFill patternType="solid">
        <fgColor rgb="FFA98BFA"/>
      </patternFill>
    </fill>
    <fill>
      <patternFill patternType="solid">
        <fgColor rgb="FF38BDF8"/>
      </patternFill>
    </fill>
    <fill>
      <patternFill patternType="solid">
        <fgColor rgb="FFFF5A6A"/>
      </patternFill>
    </fill>
    <fill>
      <patternFill patternType="solid">
        <fgColor rgb="FF1A2761"/>
      </patternFill>
    </fill>
    <fill>
      <patternFill patternType="solid">
        <fgColor rgb="FF1F3864"/>
      </patternFill>
    </fill>
    <fill>
      <patternFill patternType="solid">
        <fgColor rgb="FFFFFF00"/>
      </patternFill>
    </fill>
    <fill>
      <patternFill patternType="solid">
        <fgColor theme="4" tint="0.79998168889431442"/>
        <bgColor rgb="FF00808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EAF0F4"/>
      </patternFill>
    </fill>
    <fill>
      <patternFill patternType="solid">
        <fgColor rgb="FFFFFF00"/>
        <bgColor rgb="FFFFFF00"/>
      </patternFill>
    </fill>
    <fill>
      <patternFill patternType="solid">
        <fgColor rgb="FFEAF1FC"/>
        <bgColor rgb="FFF2F5FA"/>
      </patternFill>
    </fill>
    <fill>
      <patternFill patternType="solid">
        <fgColor rgb="FFFFF8E6"/>
        <bgColor rgb="FFF7F9F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rgb="FFB7C4CE"/>
      </left>
      <right style="thin">
        <color rgb="FFB7C4CE"/>
      </right>
      <top style="thin">
        <color rgb="FFB7C4CE"/>
      </top>
      <bottom style="thin">
        <color rgb="FFB7C4CE"/>
      </bottom>
      <diagonal/>
    </border>
    <border>
      <left/>
      <right/>
      <top/>
      <bottom/>
      <diagonal/>
    </border>
    <border>
      <left style="thin">
        <color rgb="FF23306E"/>
      </left>
      <right/>
      <top style="thin">
        <color rgb="FF23306E"/>
      </top>
      <bottom/>
      <diagonal/>
    </border>
    <border>
      <left/>
      <right style="thin">
        <color rgb="FF23306E"/>
      </right>
      <top style="thin">
        <color rgb="FF23306E"/>
      </top>
      <bottom/>
      <diagonal/>
    </border>
    <border>
      <left style="thin">
        <color rgb="FF23306E"/>
      </left>
      <right/>
      <top/>
      <bottom/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/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/>
      <right/>
      <top style="thin">
        <color rgb="FF23306E"/>
      </top>
      <bottom/>
      <diagonal/>
    </border>
    <border>
      <left/>
      <right/>
      <top/>
      <bottom style="thin">
        <color rgb="FF23306E"/>
      </bottom>
      <diagonal/>
    </border>
    <border>
      <left/>
      <right style="thin">
        <color rgb="FF23306E"/>
      </right>
      <top/>
      <bottom/>
      <diagonal/>
    </border>
    <border>
      <left style="thin">
        <color rgb="FF23306E"/>
      </left>
      <right style="thin">
        <color rgb="FF23306E"/>
      </right>
      <top/>
      <bottom/>
      <diagonal/>
    </border>
    <border>
      <left style="thin">
        <color rgb="FF23306E"/>
      </left>
      <right style="thin">
        <color rgb="FF23306E"/>
      </right>
      <top/>
      <bottom style="thin">
        <color rgb="FF23306E"/>
      </bottom>
      <diagonal/>
    </border>
    <border>
      <left/>
      <right style="thin">
        <color rgb="FF23306E"/>
      </right>
      <top/>
      <bottom style="thin">
        <color rgb="FF23306E"/>
      </bottom>
      <diagonal/>
    </border>
    <border>
      <left/>
      <right/>
      <top/>
      <bottom style="thin">
        <color rgb="FFD5DCEA"/>
      </bottom>
      <diagonal/>
    </border>
    <border>
      <left style="thin">
        <color rgb="FFD5DCEA"/>
      </left>
      <right style="thin">
        <color rgb="FFD5DCEA"/>
      </right>
      <top style="thin">
        <color rgb="FFD5DCEA"/>
      </top>
      <bottom style="thin">
        <color rgb="FFD5DCEA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3" borderId="2" xfId="0" applyFont="1" applyFill="1" applyBorder="1" applyAlignment="1">
      <alignment vertical="center"/>
    </xf>
    <xf numFmtId="0" fontId="3" fillId="0" borderId="0" xfId="0" applyFont="1"/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4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10" borderId="4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4" fillId="11" borderId="10" xfId="0" applyFont="1" applyFill="1" applyBorder="1" applyAlignment="1">
      <alignment horizontal="right" wrapText="1"/>
    </xf>
    <xf numFmtId="0" fontId="1" fillId="6" borderId="9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2" fillId="0" borderId="2" xfId="0" applyFont="1" applyBorder="1"/>
    <xf numFmtId="0" fontId="3" fillId="0" borderId="0" xfId="0" applyFont="1" applyAlignment="1">
      <alignment vertical="center"/>
    </xf>
    <xf numFmtId="0" fontId="21" fillId="18" borderId="16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22" fillId="19" borderId="16" xfId="0" applyFont="1" applyFill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 applyAlignment="1">
      <alignment horizontal="center"/>
    </xf>
    <xf numFmtId="0" fontId="13" fillId="12" borderId="0" xfId="0" applyFont="1" applyFill="1" applyAlignment="1">
      <alignment horizontal="center" vertical="center"/>
    </xf>
    <xf numFmtId="0" fontId="34" fillId="0" borderId="15" xfId="0" applyFont="1" applyBorder="1" applyAlignment="1">
      <alignment vertical="center" indent="1"/>
    </xf>
    <xf numFmtId="0" fontId="33" fillId="0" borderId="15" xfId="0" applyFont="1" applyBorder="1" applyAlignment="1">
      <alignment vertical="center" wrapText="1"/>
    </xf>
    <xf numFmtId="0" fontId="35" fillId="0" borderId="15" xfId="0" applyFont="1" applyBorder="1" applyAlignment="1">
      <alignment horizontal="center" vertical="center"/>
    </xf>
    <xf numFmtId="0" fontId="39" fillId="11" borderId="10" xfId="0" applyFont="1" applyFill="1" applyBorder="1" applyAlignment="1">
      <alignment horizontal="center" vertical="center" wrapText="1"/>
    </xf>
    <xf numFmtId="0" fontId="40" fillId="11" borderId="10" xfId="0" applyFont="1" applyFill="1" applyBorder="1" applyAlignment="1">
      <alignment horizontal="center" vertical="center" wrapText="1"/>
    </xf>
    <xf numFmtId="0" fontId="43" fillId="21" borderId="6" xfId="0" applyFont="1" applyFill="1" applyBorder="1" applyAlignment="1">
      <alignment horizontal="left" vertical="center" wrapText="1" indent="1"/>
    </xf>
    <xf numFmtId="0" fontId="43" fillId="22" borderId="6" xfId="0" applyFont="1" applyFill="1" applyBorder="1" applyAlignment="1">
      <alignment horizontal="left" vertical="center" wrapText="1" indent="1"/>
    </xf>
    <xf numFmtId="0" fontId="45" fillId="21" borderId="5" xfId="0" applyFont="1" applyFill="1" applyBorder="1" applyAlignment="1">
      <alignment horizontal="center" vertical="center"/>
    </xf>
    <xf numFmtId="0" fontId="45" fillId="22" borderId="5" xfId="0" applyFont="1" applyFill="1" applyBorder="1" applyAlignment="1">
      <alignment horizontal="center" vertical="center"/>
    </xf>
    <xf numFmtId="0" fontId="43" fillId="8" borderId="3" xfId="0" applyFont="1" applyFill="1" applyBorder="1" applyAlignment="1">
      <alignment vertical="center"/>
    </xf>
    <xf numFmtId="0" fontId="43" fillId="8" borderId="9" xfId="0" applyFont="1" applyFill="1" applyBorder="1" applyAlignment="1">
      <alignment vertical="center"/>
    </xf>
    <xf numFmtId="0" fontId="43" fillId="8" borderId="4" xfId="0" applyFont="1" applyFill="1" applyBorder="1" applyAlignment="1">
      <alignment vertical="center"/>
    </xf>
    <xf numFmtId="0" fontId="43" fillId="4" borderId="5" xfId="0" applyFont="1" applyFill="1" applyBorder="1" applyAlignment="1">
      <alignment vertical="center"/>
    </xf>
    <xf numFmtId="0" fontId="43" fillId="4" borderId="2" xfId="0" applyFont="1" applyFill="1" applyBorder="1" applyAlignment="1">
      <alignment vertical="center"/>
    </xf>
    <xf numFmtId="0" fontId="43" fillId="4" borderId="6" xfId="0" applyFont="1" applyFill="1" applyBorder="1" applyAlignment="1">
      <alignment vertical="center"/>
    </xf>
    <xf numFmtId="0" fontId="43" fillId="0" borderId="2" xfId="0" applyFont="1" applyBorder="1" applyAlignment="1">
      <alignment horizontal="left" vertical="center" indent="1"/>
    </xf>
    <xf numFmtId="0" fontId="43" fillId="0" borderId="6" xfId="0" applyFont="1" applyBorder="1" applyAlignment="1">
      <alignment horizontal="left" vertical="center" indent="1"/>
    </xf>
    <xf numFmtId="0" fontId="43" fillId="22" borderId="2" xfId="0" applyFont="1" applyFill="1" applyBorder="1" applyAlignment="1">
      <alignment horizontal="left" vertical="center" indent="1"/>
    </xf>
    <xf numFmtId="0" fontId="43" fillId="22" borderId="6" xfId="0" applyFont="1" applyFill="1" applyBorder="1" applyAlignment="1">
      <alignment horizontal="left" vertical="center" indent="1"/>
    </xf>
    <xf numFmtId="3" fontId="45" fillId="21" borderId="2" xfId="0" applyNumberFormat="1" applyFont="1" applyFill="1" applyBorder="1" applyAlignment="1" applyProtection="1">
      <alignment horizontal="right" vertical="center"/>
      <protection hidden="1"/>
    </xf>
    <xf numFmtId="3" fontId="45" fillId="22" borderId="2" xfId="0" applyNumberFormat="1" applyFont="1" applyFill="1" applyBorder="1" applyAlignment="1" applyProtection="1">
      <alignment horizontal="right" vertical="center"/>
      <protection hidden="1"/>
    </xf>
    <xf numFmtId="164" fontId="43" fillId="21" borderId="2" xfId="0" applyNumberFormat="1" applyFont="1" applyFill="1" applyBorder="1" applyAlignment="1" applyProtection="1">
      <alignment horizontal="right" vertical="center"/>
      <protection hidden="1"/>
    </xf>
    <xf numFmtId="164" fontId="43" fillId="22" borderId="2" xfId="0" applyNumberFormat="1" applyFont="1" applyFill="1" applyBorder="1" applyAlignment="1" applyProtection="1">
      <alignment horizontal="right" vertical="center"/>
      <protection hidden="1"/>
    </xf>
    <xf numFmtId="165" fontId="43" fillId="21" borderId="2" xfId="0" applyNumberFormat="1" applyFont="1" applyFill="1" applyBorder="1" applyAlignment="1" applyProtection="1">
      <alignment horizontal="right" vertical="center"/>
      <protection hidden="1"/>
    </xf>
    <xf numFmtId="165" fontId="43" fillId="22" borderId="2" xfId="0" applyNumberFormat="1" applyFont="1" applyFill="1" applyBorder="1" applyAlignment="1" applyProtection="1">
      <alignment horizontal="right" vertical="center"/>
      <protection hidden="1"/>
    </xf>
    <xf numFmtId="3" fontId="42" fillId="21" borderId="2" xfId="0" applyNumberFormat="1" applyFont="1" applyFill="1" applyBorder="1" applyAlignment="1" applyProtection="1">
      <alignment horizontal="center" vertical="center"/>
      <protection hidden="1"/>
    </xf>
    <xf numFmtId="164" fontId="41" fillId="21" borderId="2" xfId="0" applyNumberFormat="1" applyFont="1" applyFill="1" applyBorder="1" applyAlignment="1" applyProtection="1">
      <alignment horizontal="center" vertical="center"/>
      <protection hidden="1"/>
    </xf>
    <xf numFmtId="165" fontId="41" fillId="21" borderId="2" xfId="0" applyNumberFormat="1" applyFont="1" applyFill="1" applyBorder="1" applyAlignment="1" applyProtection="1">
      <alignment horizontal="center" vertical="center"/>
      <protection hidden="1"/>
    </xf>
    <xf numFmtId="164" fontId="41" fillId="21" borderId="6" xfId="0" applyNumberFormat="1" applyFont="1" applyFill="1" applyBorder="1" applyAlignment="1" applyProtection="1">
      <alignment horizontal="center" vertical="center"/>
      <protection hidden="1"/>
    </xf>
    <xf numFmtId="3" fontId="42" fillId="22" borderId="2" xfId="0" applyNumberFormat="1" applyFont="1" applyFill="1" applyBorder="1" applyAlignment="1" applyProtection="1">
      <alignment horizontal="center" vertical="center"/>
      <protection hidden="1"/>
    </xf>
    <xf numFmtId="164" fontId="41" fillId="22" borderId="2" xfId="0" applyNumberFormat="1" applyFont="1" applyFill="1" applyBorder="1" applyAlignment="1" applyProtection="1">
      <alignment horizontal="center" vertical="center"/>
      <protection hidden="1"/>
    </xf>
    <xf numFmtId="165" fontId="41" fillId="22" borderId="2" xfId="0" applyNumberFormat="1" applyFont="1" applyFill="1" applyBorder="1" applyAlignment="1" applyProtection="1">
      <alignment horizontal="center" vertical="center"/>
      <protection hidden="1"/>
    </xf>
    <xf numFmtId="164" fontId="41" fillId="22" borderId="6" xfId="0" applyNumberFormat="1" applyFont="1" applyFill="1" applyBorder="1" applyAlignment="1" applyProtection="1">
      <alignment horizontal="center" vertical="center"/>
      <protection hidden="1"/>
    </xf>
    <xf numFmtId="3" fontId="8" fillId="4" borderId="2" xfId="0" applyNumberFormat="1" applyFont="1" applyFill="1" applyBorder="1" applyAlignment="1" applyProtection="1">
      <alignment horizontal="right" vertical="center"/>
      <protection hidden="1"/>
    </xf>
    <xf numFmtId="164" fontId="7" fillId="4" borderId="2" xfId="0" applyNumberFormat="1" applyFont="1" applyFill="1" applyBorder="1" applyAlignment="1" applyProtection="1">
      <alignment horizontal="right" vertical="center"/>
      <protection hidden="1"/>
    </xf>
    <xf numFmtId="165" fontId="7" fillId="4" borderId="2" xfId="0" applyNumberFormat="1" applyFont="1" applyFill="1" applyBorder="1" applyAlignment="1" applyProtection="1">
      <alignment horizontal="right" vertical="center"/>
      <protection hidden="1"/>
    </xf>
    <xf numFmtId="164" fontId="7" fillId="4" borderId="6" xfId="0" applyNumberFormat="1" applyFont="1" applyFill="1" applyBorder="1" applyAlignment="1" applyProtection="1">
      <alignment horizontal="right" vertical="center"/>
      <protection hidden="1"/>
    </xf>
    <xf numFmtId="3" fontId="45" fillId="0" borderId="2" xfId="0" applyNumberFormat="1" applyFont="1" applyBorder="1" applyAlignment="1" applyProtection="1">
      <alignment horizontal="center" vertical="center"/>
      <protection hidden="1"/>
    </xf>
    <xf numFmtId="164" fontId="45" fillId="22" borderId="2" xfId="0" applyNumberFormat="1" applyFont="1" applyFill="1" applyBorder="1" applyAlignment="1" applyProtection="1">
      <alignment horizontal="center" vertical="center"/>
      <protection hidden="1"/>
    </xf>
    <xf numFmtId="164" fontId="45" fillId="0" borderId="2" xfId="0" applyNumberFormat="1" applyFont="1" applyBorder="1" applyAlignment="1" applyProtection="1">
      <alignment horizontal="center" vertical="center"/>
      <protection hidden="1"/>
    </xf>
    <xf numFmtId="3" fontId="45" fillId="22" borderId="2" xfId="0" applyNumberFormat="1" applyFont="1" applyFill="1" applyBorder="1" applyAlignment="1" applyProtection="1">
      <alignment horizontal="center" vertical="center"/>
      <protection hidden="1"/>
    </xf>
    <xf numFmtId="0" fontId="43" fillId="21" borderId="5" xfId="0" applyFont="1" applyFill="1" applyBorder="1" applyAlignment="1" applyProtection="1">
      <alignment horizontal="left" vertical="center"/>
      <protection locked="0"/>
    </xf>
    <xf numFmtId="0" fontId="43" fillId="22" borderId="5" xfId="0" applyFont="1" applyFill="1" applyBorder="1" applyAlignment="1" applyProtection="1">
      <alignment horizontal="left" vertical="center"/>
      <protection locked="0"/>
    </xf>
    <xf numFmtId="0" fontId="7" fillId="4" borderId="5" xfId="0" applyFont="1" applyFill="1" applyBorder="1" applyAlignment="1" applyProtection="1">
      <alignment horizontal="left" vertical="center" indent="1"/>
      <protection locked="0"/>
    </xf>
    <xf numFmtId="165" fontId="12" fillId="0" borderId="1" xfId="0" applyNumberFormat="1" applyFont="1" applyBorder="1" applyAlignment="1" applyProtection="1">
      <alignment horizontal="center"/>
      <protection hidden="1"/>
    </xf>
    <xf numFmtId="166" fontId="12" fillId="0" borderId="1" xfId="0" applyNumberFormat="1" applyFont="1" applyBorder="1" applyAlignment="1" applyProtection="1">
      <alignment horizontal="center"/>
      <protection hidden="1"/>
    </xf>
    <xf numFmtId="167" fontId="12" fillId="0" borderId="1" xfId="0" applyNumberFormat="1" applyFont="1" applyBorder="1" applyProtection="1">
      <protection hidden="1"/>
    </xf>
    <xf numFmtId="3" fontId="12" fillId="0" borderId="1" xfId="0" applyNumberFormat="1" applyFont="1" applyBorder="1" applyAlignment="1" applyProtection="1">
      <alignment horizontal="center"/>
      <protection hidden="1"/>
    </xf>
    <xf numFmtId="0" fontId="12" fillId="0" borderId="1" xfId="0" applyFont="1" applyBorder="1" applyAlignment="1" applyProtection="1">
      <alignment horizontal="center"/>
      <protection hidden="1"/>
    </xf>
    <xf numFmtId="167" fontId="3" fillId="0" borderId="0" xfId="0" applyNumberFormat="1" applyFont="1" applyProtection="1">
      <protection hidden="1"/>
    </xf>
    <xf numFmtId="0" fontId="3" fillId="0" borderId="0" xfId="0" applyFont="1" applyProtection="1">
      <protection hidden="1"/>
    </xf>
    <xf numFmtId="0" fontId="10" fillId="13" borderId="15" xfId="0" applyFont="1" applyFill="1" applyBorder="1" applyAlignment="1" applyProtection="1">
      <alignment vertical="center"/>
      <protection locked="0"/>
    </xf>
    <xf numFmtId="169" fontId="10" fillId="13" borderId="15" xfId="0" applyNumberFormat="1" applyFont="1" applyFill="1" applyBorder="1" applyAlignment="1" applyProtection="1">
      <alignment vertical="center"/>
      <protection locked="0"/>
    </xf>
    <xf numFmtId="3" fontId="10" fillId="13" borderId="15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 applyProtection="1">
      <protection hidden="1"/>
    </xf>
    <xf numFmtId="164" fontId="12" fillId="0" borderId="1" xfId="0" applyNumberFormat="1" applyFont="1" applyBorder="1" applyProtection="1">
      <protection hidden="1"/>
    </xf>
    <xf numFmtId="168" fontId="10" fillId="13" borderId="15" xfId="0" applyNumberFormat="1" applyFont="1" applyFill="1" applyBorder="1" applyAlignment="1" applyProtection="1">
      <alignment vertical="center"/>
      <protection locked="0"/>
    </xf>
    <xf numFmtId="0" fontId="38" fillId="0" borderId="0" xfId="0" applyFont="1" applyAlignment="1">
      <alignment horizontal="center" vertical="center"/>
    </xf>
    <xf numFmtId="0" fontId="36" fillId="19" borderId="0" xfId="0" applyFont="1" applyFill="1" applyAlignment="1">
      <alignment horizontal="center" vertical="center" wrapText="1"/>
    </xf>
    <xf numFmtId="0" fontId="37" fillId="0" borderId="0" xfId="0" applyFont="1"/>
    <xf numFmtId="0" fontId="11" fillId="12" borderId="0" xfId="0" applyFont="1" applyFill="1" applyAlignment="1">
      <alignment vertical="center" indent="1"/>
    </xf>
    <xf numFmtId="0" fontId="3" fillId="0" borderId="0" xfId="0" applyFont="1"/>
    <xf numFmtId="0" fontId="25" fillId="15" borderId="0" xfId="0" applyFont="1" applyFill="1" applyAlignment="1">
      <alignment horizontal="left" indent="1"/>
    </xf>
    <xf numFmtId="0" fontId="26" fillId="15" borderId="0" xfId="0" applyFont="1" applyFill="1" applyAlignment="1">
      <alignment horizontal="left" indent="1"/>
    </xf>
    <xf numFmtId="0" fontId="30" fillId="0" borderId="0" xfId="0" applyFont="1" applyAlignment="1">
      <alignment vertical="top" wrapText="1"/>
    </xf>
    <xf numFmtId="0" fontId="33" fillId="0" borderId="0" xfId="0" applyFont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 applyProtection="1">
      <alignment horizontal="center" vertical="center"/>
      <protection hidden="1"/>
    </xf>
    <xf numFmtId="0" fontId="3" fillId="0" borderId="14" xfId="0" applyFont="1" applyBorder="1"/>
    <xf numFmtId="0" fontId="6" fillId="4" borderId="12" xfId="0" applyFont="1" applyFill="1" applyBorder="1" applyAlignment="1">
      <alignment vertical="center" indent="1"/>
    </xf>
    <xf numFmtId="0" fontId="3" fillId="0" borderId="11" xfId="0" applyFont="1" applyBorder="1"/>
    <xf numFmtId="3" fontId="5" fillId="4" borderId="13" xfId="0" applyNumberFormat="1" applyFont="1" applyFill="1" applyBorder="1" applyAlignment="1" applyProtection="1">
      <alignment horizontal="center" vertical="center"/>
      <protection hidden="1"/>
    </xf>
    <xf numFmtId="0" fontId="4" fillId="4" borderId="12" xfId="0" applyFont="1" applyFill="1" applyBorder="1" applyAlignment="1">
      <alignment horizontal="center" vertical="center"/>
    </xf>
    <xf numFmtId="0" fontId="44" fillId="4" borderId="12" xfId="0" applyFont="1" applyFill="1" applyBorder="1" applyAlignment="1">
      <alignment vertical="center" indent="1"/>
    </xf>
    <xf numFmtId="0" fontId="44" fillId="0" borderId="0" xfId="0" applyFont="1"/>
    <xf numFmtId="0" fontId="44" fillId="0" borderId="11" xfId="0" applyFont="1" applyBorder="1"/>
    <xf numFmtId="0" fontId="40" fillId="11" borderId="2" xfId="0" applyFont="1" applyFill="1" applyBorder="1" applyAlignment="1">
      <alignment horizontal="center" vertical="center" wrapText="1"/>
    </xf>
    <xf numFmtId="0" fontId="43" fillId="0" borderId="5" xfId="0" applyFont="1" applyBorder="1" applyAlignment="1">
      <alignment horizontal="left" vertical="center" wrapText="1" indent="1"/>
    </xf>
    <xf numFmtId="0" fontId="43" fillId="0" borderId="2" xfId="0" applyFont="1" applyBorder="1" applyAlignment="1">
      <alignment horizontal="left" vertical="center" wrapText="1" indent="1"/>
    </xf>
    <xf numFmtId="0" fontId="43" fillId="22" borderId="5" xfId="0" applyFont="1" applyFill="1" applyBorder="1" applyAlignment="1">
      <alignment horizontal="left" vertical="center" wrapText="1" indent="1"/>
    </xf>
    <xf numFmtId="0" fontId="43" fillId="22" borderId="2" xfId="0" applyFont="1" applyFill="1" applyBorder="1" applyAlignment="1">
      <alignment horizontal="left" vertical="center" wrapText="1" indent="1"/>
    </xf>
    <xf numFmtId="0" fontId="9" fillId="4" borderId="12" xfId="0" applyFont="1" applyFill="1" applyBorder="1" applyAlignment="1">
      <alignment vertical="center" indent="1"/>
    </xf>
    <xf numFmtId="0" fontId="6" fillId="4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9" fillId="4" borderId="12" xfId="0" applyFont="1" applyFill="1" applyBorder="1" applyAlignment="1">
      <alignment vertical="center" indent="1"/>
    </xf>
    <xf numFmtId="0" fontId="29" fillId="0" borderId="0" xfId="0" applyFont="1"/>
    <xf numFmtId="0" fontId="29" fillId="0" borderId="11" xfId="0" applyFont="1" applyBorder="1"/>
    <xf numFmtId="165" fontId="5" fillId="4" borderId="13" xfId="0" applyNumberFormat="1" applyFont="1" applyFill="1" applyBorder="1" applyAlignment="1" applyProtection="1">
      <alignment horizontal="center" vertical="center"/>
      <protection hidden="1"/>
    </xf>
    <xf numFmtId="0" fontId="43" fillId="22" borderId="7" xfId="0" applyFont="1" applyFill="1" applyBorder="1" applyAlignment="1">
      <alignment horizontal="left" vertical="center" indent="1"/>
    </xf>
    <xf numFmtId="0" fontId="43" fillId="22" borderId="10" xfId="0" applyFont="1" applyFill="1" applyBorder="1" applyAlignment="1">
      <alignment horizontal="left" vertical="center" indent="1"/>
    </xf>
    <xf numFmtId="0" fontId="44" fillId="3" borderId="2" xfId="0" applyFont="1" applyFill="1" applyBorder="1" applyAlignment="1">
      <alignment vertical="center"/>
    </xf>
    <xf numFmtId="0" fontId="14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25" fillId="14" borderId="0" xfId="0" applyFont="1" applyFill="1" applyAlignment="1">
      <alignment horizontal="left" vertical="center" indent="2"/>
    </xf>
    <xf numFmtId="0" fontId="11" fillId="2" borderId="0" xfId="0" applyFont="1" applyFill="1" applyAlignment="1">
      <alignment horizontal="left" vertical="center" indent="2"/>
    </xf>
    <xf numFmtId="0" fontId="3" fillId="0" borderId="0" xfId="0" applyFont="1" applyAlignment="1">
      <alignment horizontal="left" indent="1"/>
    </xf>
    <xf numFmtId="0" fontId="19" fillId="0" borderId="0" xfId="0" applyFont="1" applyAlignment="1">
      <alignment horizontal="left" vertical="center" wrapText="1"/>
    </xf>
    <xf numFmtId="0" fontId="23" fillId="20" borderId="0" xfId="0" applyFont="1" applyFill="1" applyAlignment="1">
      <alignment vertical="center" wrapText="1"/>
    </xf>
    <xf numFmtId="0" fontId="24" fillId="0" borderId="0" xfId="0" applyFont="1" applyAlignment="1">
      <alignment vertical="center"/>
    </xf>
    <xf numFmtId="0" fontId="17" fillId="16" borderId="0" xfId="0" applyFont="1" applyFill="1" applyAlignment="1">
      <alignment horizontal="center" vertical="center" wrapText="1"/>
    </xf>
    <xf numFmtId="3" fontId="46" fillId="17" borderId="2" xfId="0" applyNumberFormat="1" applyFont="1" applyFill="1" applyBorder="1" applyAlignment="1">
      <alignment horizontal="center" vertical="center" wrapText="1"/>
    </xf>
    <xf numFmtId="3" fontId="46" fillId="17" borderId="2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5" fillId="14" borderId="0" xfId="0" applyFont="1" applyFill="1" applyAlignment="1">
      <alignment horizontal="left" vertical="center" indent="2"/>
    </xf>
    <xf numFmtId="0" fontId="16" fillId="15" borderId="0" xfId="0" applyFont="1" applyFill="1" applyAlignment="1">
      <alignment horizontal="left" indent="1"/>
    </xf>
  </cellXfs>
  <cellStyles count="1">
    <cellStyle name="Normal" xfId="0" builtinId="0"/>
  </cellStyles>
  <dxfs count="5"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C"/>
      <rgbColor rgb="FFB7C4CE"/>
      <rgbColor rgb="FF808080"/>
      <rgbColor rgb="FF9999FF"/>
      <rgbColor rgb="FF993366"/>
      <rgbColor rgb="FFFFF2CC"/>
      <rgbColor rgb="FFEAF0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4324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00D9B2"/>
            </a:solidFill>
            <a:ln>
              <a:prstDash val="solid"/>
            </a:ln>
          </c:spPr>
          <c:dPt>
            <c:idx val="0"/>
            <c:bubble3D val="0"/>
            <c:spPr>
              <a:solidFill>
                <a:srgbClr val="00B05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60-4EC3-8C6A-E71F4CB4688D}"/>
              </c:ext>
            </c:extLst>
          </c:dPt>
          <c:dPt>
            <c:idx val="1"/>
            <c:bubble3D val="0"/>
            <c:spPr>
              <a:solidFill>
                <a:srgbClr val="4C8D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60-4EC3-8C6A-E71F4CB4688D}"/>
              </c:ext>
            </c:extLst>
          </c:dPt>
          <c:dPt>
            <c:idx val="2"/>
            <c:bubble3D val="0"/>
            <c:spPr>
              <a:solidFill>
                <a:srgbClr val="FFB02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60-4EC3-8C6A-E71F4CB468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Tablero!$B$13:$B$15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Tablero!$C$13:$C$15</c:f>
              <c:numCache>
                <c:formatCode>#,##0</c:formatCode>
                <c:ptCount val="3"/>
                <c:pt idx="0">
                  <c:v>9</c:v>
                </c:pt>
                <c:pt idx="1">
                  <c:v>14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60-4EC3-8C6A-E71F4CB4688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1"/>
  </c:chart>
  <c:spPr>
    <a:solidFill>
      <a:srgbClr val="111C52"/>
    </a:solidFill>
    <a:ln>
      <a:prstDash val="solid"/>
    </a:ln>
  </c:spPr>
  <c:txPr>
    <a:bodyPr/>
    <a:lstStyle/>
    <a:p>
      <a:pPr>
        <a:defRPr>
          <a:latin typeface="Aptos Display" panose="020B00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prstDash val="solid"/>
          <a:round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235365396998078E-2"/>
          <c:y val="3.3597300337457815E-2"/>
          <c:w val="0.90014356725146194"/>
          <c:h val="0.5996130483689539"/>
        </c:manualLayout>
      </c:layout>
      <c:area3DChart>
        <c:grouping val="stacked"/>
        <c:varyColors val="1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  <a:sp3d/>
          </c:spPr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9446-45CB-AD39-C891D65015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9446-45CB-AD39-C891D650152D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9446-45CB-AD39-C891D650152D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9446-45CB-AD39-C891D650152D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9446-45CB-AD39-C891D650152D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9446-45CB-AD39-C891D650152D}"/>
              </c:ext>
            </c:extLst>
          </c:dPt>
          <c:dPt>
            <c:idx val="6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9446-45CB-AD39-C891D650152D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9446-45CB-AD39-C891D650152D}"/>
              </c:ext>
            </c:extLst>
          </c:dPt>
          <c:dPt>
            <c:idx val="8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9446-45CB-AD39-C891D650152D}"/>
              </c:ext>
            </c:extLst>
          </c:dPt>
          <c:dPt>
            <c:idx val="9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3-9446-45CB-AD39-C891D65015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ptos Display" panose="020B0004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Tablero!$B$21:$B$29</c:f>
              <c:strCache>
                <c:ptCount val="8"/>
                <c:pt idx="0">
                  <c:v>Fijaciones</c:v>
                </c:pt>
                <c:pt idx="1">
                  <c:v>Herramienta manual</c:v>
                </c:pt>
                <c:pt idx="2">
                  <c:v>Pinturas</c:v>
                </c:pt>
                <c:pt idx="3">
                  <c:v>Eléctricos</c:v>
                </c:pt>
                <c:pt idx="4">
                  <c:v>Plomería</c:v>
                </c:pt>
                <c:pt idx="5">
                  <c:v>Papelería</c:v>
                </c:pt>
                <c:pt idx="6">
                  <c:v>Aseo</c:v>
                </c:pt>
                <c:pt idx="7">
                  <c:v>Seguridad</c:v>
                </c:pt>
              </c:strCache>
            </c:strRef>
          </c:cat>
          <c:val>
            <c:numRef>
              <c:f>Tablero!$C$21:$C$29</c:f>
              <c:numCache>
                <c:formatCode>#,##0</c:formatCode>
                <c:ptCount val="9"/>
                <c:pt idx="0">
                  <c:v>1164</c:v>
                </c:pt>
                <c:pt idx="1">
                  <c:v>11</c:v>
                </c:pt>
                <c:pt idx="2">
                  <c:v>99</c:v>
                </c:pt>
                <c:pt idx="3">
                  <c:v>200</c:v>
                </c:pt>
                <c:pt idx="4">
                  <c:v>60</c:v>
                </c:pt>
                <c:pt idx="5">
                  <c:v>241</c:v>
                </c:pt>
                <c:pt idx="6">
                  <c:v>34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446-45CB-AD39-C891D6501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  <c:axId val="0"/>
      </c:area3D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s-CO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&quot;$&quot;#,##0,,&quot;M&quot;;;&quot;—&quot;" sourceLinked="0"/>
        <c:majorTickMark val="none"/>
        <c:minorTickMark val="none"/>
        <c:tickLblPos val="nextTo"/>
        <c:crossAx val="1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111C52"/>
    </a:solidFill>
    <a:ln w="9525" cap="flat" cmpd="sng" algn="ctr"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63500</xdr:colOff>
      <xdr:row>46</xdr:row>
      <xdr:rowOff>194309</xdr:rowOff>
    </xdr:from>
    <xdr:ext cx="3429000" cy="242358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48047</xdr:colOff>
      <xdr:row>47</xdr:row>
      <xdr:rowOff>95251</xdr:rowOff>
    </xdr:from>
    <xdr:ext cx="5522596" cy="24447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FD2BD77-E71E-43E0-8515-C147983DA445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16b5771-89e7-4939-9bee-b12bb9d940a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A2761"/>
  </sheetPr>
  <dimension ref="A1:H65"/>
  <sheetViews>
    <sheetView showGridLines="0" zoomScale="90" zoomScaleNormal="100" workbookViewId="0">
      <selection activeCell="N55" sqref="N55"/>
    </sheetView>
  </sheetViews>
  <sheetFormatPr baseColWidth="10" defaultColWidth="8.6640625" defaultRowHeight="14.4" x14ac:dyDescent="0.3"/>
  <cols>
    <col min="1" max="1" width="2" style="2" customWidth="1"/>
    <col min="2" max="2" width="30" style="2" customWidth="1"/>
    <col min="3" max="3" width="16" style="2" customWidth="1"/>
    <col min="4" max="4" width="20" style="2" customWidth="1"/>
    <col min="5" max="5" width="18" style="2" customWidth="1"/>
    <col min="6" max="6" width="15" style="2" customWidth="1"/>
    <col min="7" max="7" width="32" style="2" customWidth="1"/>
    <col min="8" max="12" width="2" style="2" customWidth="1"/>
    <col min="13" max="16384" width="8.6640625" style="2"/>
  </cols>
  <sheetData>
    <row r="1" spans="1:8" ht="28.05" customHeight="1" x14ac:dyDescent="0.3">
      <c r="A1" s="1"/>
      <c r="B1" s="121" t="s">
        <v>143</v>
      </c>
      <c r="C1" s="99"/>
      <c r="D1" s="99"/>
      <c r="E1" s="99"/>
      <c r="F1" s="99"/>
      <c r="G1" s="99"/>
      <c r="H1" s="1"/>
    </row>
    <row r="2" spans="1:8" ht="15" customHeight="1" x14ac:dyDescent="0.3">
      <c r="A2" s="1"/>
      <c r="B2" s="128" t="s">
        <v>144</v>
      </c>
      <c r="C2" s="112"/>
      <c r="D2" s="112"/>
      <c r="E2" s="112"/>
      <c r="F2" s="112"/>
      <c r="G2" s="112"/>
      <c r="H2" s="1"/>
    </row>
    <row r="3" spans="1:8" ht="4.05" customHeight="1" x14ac:dyDescent="0.3">
      <c r="A3" s="1"/>
      <c r="B3" s="3"/>
      <c r="C3" s="4"/>
      <c r="D3" s="5"/>
      <c r="E3" s="6"/>
      <c r="F3" s="7"/>
      <c r="G3" s="8"/>
      <c r="H3" s="1"/>
    </row>
    <row r="4" spans="1:8" ht="16.95" customHeight="1" x14ac:dyDescent="0.3">
      <c r="A4" s="1"/>
      <c r="B4" s="110" t="s">
        <v>145</v>
      </c>
      <c r="C4" s="108"/>
      <c r="D4" s="110" t="s">
        <v>146</v>
      </c>
      <c r="E4" s="108"/>
      <c r="F4" s="110" t="s">
        <v>147</v>
      </c>
      <c r="G4" s="108"/>
      <c r="H4" s="1"/>
    </row>
    <row r="5" spans="1:8" ht="33" customHeight="1" x14ac:dyDescent="0.3">
      <c r="A5" s="1"/>
      <c r="B5" s="105">
        <f>SUM(Ventas!$F$5:$F$204)</f>
        <v>5992840</v>
      </c>
      <c r="C5" s="106"/>
      <c r="D5" s="105">
        <f>SUM(Ventas!$H$5:$H$204)</f>
        <v>3404360</v>
      </c>
      <c r="E5" s="106"/>
      <c r="F5" s="125">
        <f>IFERROR(SUM(Ventas!$H$5:$H$204)/SUM(Ventas!$F$5:$F$204),0)</f>
        <v>0.56807123166979256</v>
      </c>
      <c r="G5" s="106"/>
      <c r="H5" s="1"/>
    </row>
    <row r="6" spans="1:8" ht="4.05" customHeight="1" x14ac:dyDescent="0.3">
      <c r="A6" s="1"/>
      <c r="B6" s="9"/>
      <c r="C6" s="10"/>
      <c r="D6" s="11"/>
      <c r="E6" s="12"/>
      <c r="F6" s="13"/>
      <c r="G6" s="14"/>
      <c r="H6" s="1"/>
    </row>
    <row r="7" spans="1:8" ht="16.95" customHeight="1" x14ac:dyDescent="0.3">
      <c r="A7" s="1"/>
      <c r="B7" s="110" t="s">
        <v>148</v>
      </c>
      <c r="C7" s="108"/>
      <c r="D7" s="110" t="s">
        <v>149</v>
      </c>
      <c r="E7" s="108"/>
      <c r="F7" s="110" t="s">
        <v>150</v>
      </c>
      <c r="G7" s="108"/>
      <c r="H7" s="1"/>
    </row>
    <row r="8" spans="1:8" ht="33" customHeight="1" x14ac:dyDescent="0.3">
      <c r="A8" s="1"/>
      <c r="B8" s="105">
        <f>SUMPRODUCT(Inventario!$E$5:$E$104,Inventario!$H$5:$H$104)</f>
        <v>16422660</v>
      </c>
      <c r="C8" s="106"/>
      <c r="D8" s="109">
        <f>COUNTIF(Inventario!$Q$5:$Q$104,"COMPRAR YA")</f>
        <v>0</v>
      </c>
      <c r="E8" s="106"/>
      <c r="F8" s="109">
        <f>COUNTIF(Inventario!$Q$5:$Q$104,"SIN ROTACIÓN")</f>
        <v>8</v>
      </c>
      <c r="G8" s="106"/>
      <c r="H8" s="1"/>
    </row>
    <row r="9" spans="1:8" ht="3" customHeight="1" x14ac:dyDescent="0.3">
      <c r="A9" s="1"/>
      <c r="B9" s="3"/>
      <c r="C9" s="15"/>
      <c r="D9" s="15"/>
      <c r="E9" s="15"/>
      <c r="F9" s="15"/>
      <c r="G9" s="4"/>
      <c r="H9" s="1"/>
    </row>
    <row r="10" spans="1:8" x14ac:dyDescent="0.3">
      <c r="A10" s="1"/>
      <c r="B10" s="16"/>
      <c r="C10" s="17"/>
      <c r="D10" s="17"/>
      <c r="E10" s="17"/>
      <c r="F10" s="17"/>
      <c r="G10" s="18"/>
      <c r="H10" s="1"/>
    </row>
    <row r="11" spans="1:8" ht="21" customHeight="1" x14ac:dyDescent="0.3">
      <c r="A11" s="1"/>
      <c r="B11" s="107" t="s">
        <v>151</v>
      </c>
      <c r="C11" s="99"/>
      <c r="D11" s="99"/>
      <c r="E11" s="99"/>
      <c r="F11" s="99"/>
      <c r="G11" s="108"/>
      <c r="H11" s="1"/>
    </row>
    <row r="12" spans="1:8" ht="28.95" customHeight="1" x14ac:dyDescent="0.3">
      <c r="A12" s="1"/>
      <c r="B12" s="42" t="s">
        <v>152</v>
      </c>
      <c r="C12" s="42" t="s">
        <v>153</v>
      </c>
      <c r="D12" s="42" t="s">
        <v>154</v>
      </c>
      <c r="E12" s="42" t="s">
        <v>27</v>
      </c>
      <c r="F12" s="42" t="s">
        <v>155</v>
      </c>
      <c r="G12" s="42" t="s">
        <v>156</v>
      </c>
      <c r="H12" s="1"/>
    </row>
    <row r="13" spans="1:8" ht="55.2" x14ac:dyDescent="0.3">
      <c r="A13" s="1"/>
      <c r="B13" s="45" t="s">
        <v>157</v>
      </c>
      <c r="C13" s="57">
        <f>COUNTIF(Inventario!$N$5:$N$104,"A")</f>
        <v>9</v>
      </c>
      <c r="D13" s="59">
        <f>SUMIF(Inventario!$N$5:$N$104,"A",Inventario!$J$5:$J$104)</f>
        <v>3761600</v>
      </c>
      <c r="E13" s="61">
        <f>IFERROR(SUMIF(Inventario!$N$5:$N$104,"A",Inventario!$J$5:$J$104)/SUM(Inventario!$J$5:$J$104),0)</f>
        <v>0.62768236762536622</v>
      </c>
      <c r="F13" s="59">
        <f>SUMPRODUCT((Inventario!$N$5:$N$104="A")*Inventario!$E$5:$E$104*Inventario!$H$5:$H$104)</f>
        <v>6085480</v>
      </c>
      <c r="G13" s="43" t="s">
        <v>158</v>
      </c>
      <c r="H13" s="1"/>
    </row>
    <row r="14" spans="1:8" ht="41.4" x14ac:dyDescent="0.3">
      <c r="A14" s="1"/>
      <c r="B14" s="46" t="s">
        <v>159</v>
      </c>
      <c r="C14" s="58">
        <f>COUNTIF(Inventario!$N$5:$N$104,"B")</f>
        <v>14</v>
      </c>
      <c r="D14" s="60">
        <f>SUMIF(Inventario!$N$5:$N$104,"B",Inventario!$J$5:$J$104)</f>
        <v>1518480</v>
      </c>
      <c r="E14" s="62">
        <f>IFERROR(SUMIF(Inventario!$N$5:$N$104,"B",Inventario!$J$5:$J$104)/SUM(Inventario!$J$5:$J$104),0)</f>
        <v>0.25338236962775579</v>
      </c>
      <c r="F14" s="60">
        <f>SUMPRODUCT((Inventario!$N$5:$N$104="B")*Inventario!$E$5:$E$104*Inventario!$H$5:$H$104)</f>
        <v>4241580</v>
      </c>
      <c r="G14" s="44" t="s">
        <v>160</v>
      </c>
      <c r="H14" s="1"/>
    </row>
    <row r="15" spans="1:8" ht="41.4" x14ac:dyDescent="0.3">
      <c r="A15" s="1"/>
      <c r="B15" s="45" t="s">
        <v>161</v>
      </c>
      <c r="C15" s="57">
        <f>COUNTIF(Inventario!$N$5:$N$104,"C")</f>
        <v>22</v>
      </c>
      <c r="D15" s="59">
        <f>SUMIF(Inventario!$N$5:$N$104,"C",Inventario!$J$5:$J$104)</f>
        <v>712760</v>
      </c>
      <c r="E15" s="61">
        <f>IFERROR(SUMIF(Inventario!$N$5:$N$104,"C",Inventario!$J$5:$J$104)/SUM(Inventario!$J$5:$J$104),0)</f>
        <v>0.11893526274687793</v>
      </c>
      <c r="F15" s="59">
        <f>SUMPRODUCT((Inventario!$N$5:$N$104="C")*Inventario!$E$5:$E$104*Inventario!$H$5:$H$104)</f>
        <v>6095600</v>
      </c>
      <c r="G15" s="43" t="s">
        <v>162</v>
      </c>
      <c r="H15" s="1"/>
    </row>
    <row r="16" spans="1:8" ht="3" customHeight="1" x14ac:dyDescent="0.3">
      <c r="A16" s="1"/>
      <c r="B16" s="5"/>
      <c r="C16" s="20"/>
      <c r="D16" s="20"/>
      <c r="E16" s="20"/>
      <c r="F16" s="20"/>
      <c r="G16" s="6"/>
      <c r="H16" s="1"/>
    </row>
    <row r="17" spans="1:8" x14ac:dyDescent="0.3">
      <c r="A17" s="1"/>
      <c r="B17" s="16"/>
      <c r="C17" s="17"/>
      <c r="D17" s="17"/>
      <c r="E17" s="17"/>
      <c r="F17" s="17"/>
      <c r="G17" s="18"/>
      <c r="H17" s="1"/>
    </row>
    <row r="18" spans="1:8" ht="21" customHeight="1" x14ac:dyDescent="0.3">
      <c r="A18" s="1"/>
      <c r="B18" s="107" t="s">
        <v>163</v>
      </c>
      <c r="C18" s="99"/>
      <c r="D18" s="99"/>
      <c r="E18" s="99"/>
      <c r="F18" s="99"/>
      <c r="G18" s="108"/>
      <c r="H18" s="1"/>
    </row>
    <row r="19" spans="1:8" ht="15" customHeight="1" x14ac:dyDescent="0.3">
      <c r="A19" s="1"/>
      <c r="B19" s="122" t="s">
        <v>164</v>
      </c>
      <c r="C19" s="123"/>
      <c r="D19" s="123"/>
      <c r="E19" s="123"/>
      <c r="F19" s="123"/>
      <c r="G19" s="124"/>
      <c r="H19" s="1"/>
    </row>
    <row r="20" spans="1:8" ht="28.95" customHeight="1" x14ac:dyDescent="0.3">
      <c r="A20" s="1"/>
      <c r="B20" s="41" t="s">
        <v>18</v>
      </c>
      <c r="C20" s="41" t="s">
        <v>165</v>
      </c>
      <c r="D20" s="41" t="s">
        <v>154</v>
      </c>
      <c r="E20" s="41" t="s">
        <v>142</v>
      </c>
      <c r="F20" s="41" t="s">
        <v>22</v>
      </c>
      <c r="G20" s="41" t="s">
        <v>155</v>
      </c>
      <c r="H20" s="1"/>
    </row>
    <row r="21" spans="1:8" x14ac:dyDescent="0.3">
      <c r="A21" s="1"/>
      <c r="B21" s="79" t="s">
        <v>35</v>
      </c>
      <c r="C21" s="63">
        <f>IF($B21="","",SUMIF(Inventario!$C$5:$C$104,$B21,Inventario!$I$5:$I$104))</f>
        <v>1164</v>
      </c>
      <c r="D21" s="64">
        <f>IF($B21="","",SUMIF(Inventario!$C$5:$C$104,$B21,Inventario!$J$5:$J$104))</f>
        <v>713440</v>
      </c>
      <c r="E21" s="64">
        <f>IF($B21="","",SUMIF(Inventario!$C$5:$C$104,$B21,Inventario!$K$5:$K$104))</f>
        <v>428660</v>
      </c>
      <c r="F21" s="65">
        <f t="shared" ref="F21:F29" si="0">IFERROR($E21/$D21,"")</f>
        <v>0.60083538910069523</v>
      </c>
      <c r="G21" s="66">
        <f>IF($B21="","",SUMPRODUCT((Inventario!$C$5:$C$104=$B21)*Inventario!$E$5:$E$104*Inventario!$H$5:$H$104))</f>
        <v>811460</v>
      </c>
      <c r="H21" s="1"/>
    </row>
    <row r="22" spans="1:8" x14ac:dyDescent="0.3">
      <c r="A22" s="1"/>
      <c r="B22" s="80" t="s">
        <v>51</v>
      </c>
      <c r="C22" s="67">
        <f>IF($B22="","",SUMIF(Inventario!$C$5:$C$104,$B22,Inventario!$I$5:$I$104))</f>
        <v>11</v>
      </c>
      <c r="D22" s="68">
        <f>IF($B22="","",SUMIF(Inventario!$C$5:$C$104,$B22,Inventario!$J$5:$J$104))</f>
        <v>320200</v>
      </c>
      <c r="E22" s="68">
        <f>IF($B22="","",SUMIF(Inventario!$C$5:$C$104,$B22,Inventario!$K$5:$K$104))</f>
        <v>187100</v>
      </c>
      <c r="F22" s="69">
        <f t="shared" si="0"/>
        <v>0.5843222985633979</v>
      </c>
      <c r="G22" s="70">
        <f>IF($B22="","",SUMPRODUCT((Inventario!$C$5:$C$104=$B22)*Inventario!$E$5:$E$104*Inventario!$H$5:$H$104))</f>
        <v>2547000</v>
      </c>
      <c r="H22" s="1"/>
    </row>
    <row r="23" spans="1:8" x14ac:dyDescent="0.3">
      <c r="A23" s="1"/>
      <c r="B23" s="79" t="s">
        <v>64</v>
      </c>
      <c r="C23" s="63">
        <f>IF($B23="","",SUMIF(Inventario!$C$5:$C$104,$B23,Inventario!$I$5:$I$104))</f>
        <v>99</v>
      </c>
      <c r="D23" s="64">
        <f>IF($B23="","",SUMIF(Inventario!$C$5:$C$104,$B23,Inventario!$J$5:$J$104))</f>
        <v>1480300</v>
      </c>
      <c r="E23" s="64">
        <f>IF($B23="","",SUMIF(Inventario!$C$5:$C$104,$B23,Inventario!$K$5:$K$104))</f>
        <v>815900</v>
      </c>
      <c r="F23" s="65">
        <f t="shared" si="0"/>
        <v>0.55117205971762484</v>
      </c>
      <c r="G23" s="66">
        <f>IF($B23="","",SUMPRODUCT((Inventario!$C$5:$C$104=$B23)*Inventario!$E$5:$E$104*Inventario!$H$5:$H$104))</f>
        <v>4478600</v>
      </c>
      <c r="H23" s="1"/>
    </row>
    <row r="24" spans="1:8" x14ac:dyDescent="0.3">
      <c r="A24" s="1"/>
      <c r="B24" s="80" t="s">
        <v>79</v>
      </c>
      <c r="C24" s="67">
        <f>IF($B24="","",SUMIF(Inventario!$C$5:$C$104,$B24,Inventario!$I$5:$I$104))</f>
        <v>200</v>
      </c>
      <c r="D24" s="68">
        <f>IF($B24="","",SUMIF(Inventario!$C$5:$C$104,$B24,Inventario!$J$5:$J$104))</f>
        <v>1553000</v>
      </c>
      <c r="E24" s="68">
        <f>IF($B24="","",SUMIF(Inventario!$C$5:$C$104,$B24,Inventario!$K$5:$K$104))</f>
        <v>941000</v>
      </c>
      <c r="F24" s="69">
        <f t="shared" si="0"/>
        <v>0.60592401802962004</v>
      </c>
      <c r="G24" s="70">
        <f>IF($B24="","",SUMPRODUCT((Inventario!$C$5:$C$104=$B24)*Inventario!$E$5:$E$104*Inventario!$H$5:$H$104))</f>
        <v>1379500</v>
      </c>
      <c r="H24" s="1"/>
    </row>
    <row r="25" spans="1:8" x14ac:dyDescent="0.3">
      <c r="A25" s="1"/>
      <c r="B25" s="79" t="s">
        <v>92</v>
      </c>
      <c r="C25" s="63">
        <f>IF($B25="","",SUMIF(Inventario!$C$5:$C$104,$B25,Inventario!$I$5:$I$104))</f>
        <v>60</v>
      </c>
      <c r="D25" s="64">
        <f>IF($B25="","",SUMIF(Inventario!$C$5:$C$104,$B25,Inventario!$J$5:$J$104))</f>
        <v>205400</v>
      </c>
      <c r="E25" s="64">
        <f>IF($B25="","",SUMIF(Inventario!$C$5:$C$104,$B25,Inventario!$K$5:$K$104))</f>
        <v>130900</v>
      </c>
      <c r="F25" s="65">
        <f t="shared" si="0"/>
        <v>0.63729308666017526</v>
      </c>
      <c r="G25" s="66">
        <f>IF($B25="","",SUMPRODUCT((Inventario!$C$5:$C$104=$B25)*Inventario!$E$5:$E$104*Inventario!$H$5:$H$104))</f>
        <v>994400</v>
      </c>
      <c r="H25" s="1"/>
    </row>
    <row r="26" spans="1:8" x14ac:dyDescent="0.3">
      <c r="A26" s="1"/>
      <c r="B26" s="80" t="s">
        <v>103</v>
      </c>
      <c r="C26" s="67">
        <f>IF($B26="","",SUMIF(Inventario!$C$5:$C$104,$B26,Inventario!$I$5:$I$104))</f>
        <v>241</v>
      </c>
      <c r="D26" s="68">
        <f>IF($B26="","",SUMIF(Inventario!$C$5:$C$104,$B26,Inventario!$J$5:$J$104))</f>
        <v>1272200</v>
      </c>
      <c r="E26" s="68">
        <f>IF($B26="","",SUMIF(Inventario!$C$5:$C$104,$B26,Inventario!$K$5:$K$104))</f>
        <v>640400</v>
      </c>
      <c r="F26" s="69">
        <f t="shared" si="0"/>
        <v>0.50337997170256255</v>
      </c>
      <c r="G26" s="70">
        <f>IF($B26="","",SUMPRODUCT((Inventario!$C$5:$C$104=$B26)*Inventario!$E$5:$E$104*Inventario!$H$5:$H$104))</f>
        <v>4373700</v>
      </c>
      <c r="H26" s="1"/>
    </row>
    <row r="27" spans="1:8" x14ac:dyDescent="0.3">
      <c r="A27" s="1"/>
      <c r="B27" s="79" t="s">
        <v>122</v>
      </c>
      <c r="C27" s="63">
        <f>IF($B27="","",SUMIF(Inventario!$C$5:$C$104,$B27,Inventario!$I$5:$I$104))</f>
        <v>34</v>
      </c>
      <c r="D27" s="64">
        <f>IF($B27="","",SUMIF(Inventario!$C$5:$C$104,$B27,Inventario!$J$5:$J$104))</f>
        <v>386300</v>
      </c>
      <c r="E27" s="64">
        <f>IF($B27="","",SUMIF(Inventario!$C$5:$C$104,$B27,Inventario!$K$5:$K$104))</f>
        <v>225400</v>
      </c>
      <c r="F27" s="65">
        <f t="shared" si="0"/>
        <v>0.58348433859694537</v>
      </c>
      <c r="G27" s="66">
        <f>IF($B27="","",SUMPRODUCT((Inventario!$C$5:$C$104=$B27)*Inventario!$E$5:$E$104*Inventario!$H$5:$H$104))</f>
        <v>1196000</v>
      </c>
      <c r="H27" s="1"/>
    </row>
    <row r="28" spans="1:8" x14ac:dyDescent="0.3">
      <c r="A28" s="1"/>
      <c r="B28" s="80" t="s">
        <v>133</v>
      </c>
      <c r="C28" s="67">
        <f>IF($B28="","",SUMIF(Inventario!$C$5:$C$104,$B28,Inventario!$I$5:$I$104))</f>
        <v>2</v>
      </c>
      <c r="D28" s="68">
        <f>IF($B28="","",SUMIF(Inventario!$C$5:$C$104,$B28,Inventario!$J$5:$J$104))</f>
        <v>62000</v>
      </c>
      <c r="E28" s="68">
        <f>IF($B28="","",SUMIF(Inventario!$C$5:$C$104,$B28,Inventario!$K$5:$K$104))</f>
        <v>35000</v>
      </c>
      <c r="F28" s="69">
        <f t="shared" si="0"/>
        <v>0.56451612903225812</v>
      </c>
      <c r="G28" s="70">
        <f>IF($B28="","",SUMPRODUCT((Inventario!$C$5:$C$104=$B28)*Inventario!$E$5:$E$104*Inventario!$H$5:$H$104))</f>
        <v>642000</v>
      </c>
      <c r="H28" s="1"/>
    </row>
    <row r="29" spans="1:8" ht="16.05" customHeight="1" x14ac:dyDescent="0.3">
      <c r="A29" s="1"/>
      <c r="B29" s="81"/>
      <c r="C29" s="71" t="str">
        <f>IF($B29="","",SUMIF(Inventario!$C$5:$C$104,$B29,Inventario!$I$5:$I$104))</f>
        <v/>
      </c>
      <c r="D29" s="72" t="str">
        <f>IF($B29="","",SUMIF(Inventario!$C$5:$C$104,$B29,Inventario!$J$5:$J$104))</f>
        <v/>
      </c>
      <c r="E29" s="72" t="str">
        <f>IF($B29="","",SUMIF(Inventario!$C$5:$C$104,$B29,Inventario!$K$5:$K$104))</f>
        <v/>
      </c>
      <c r="F29" s="73" t="str">
        <f t="shared" si="0"/>
        <v/>
      </c>
      <c r="G29" s="74" t="str">
        <f>IF($B29="","",SUMPRODUCT((Inventario!$C$5:$C$104=$B29)*Inventario!$E$5:$E$104*Inventario!$H$5:$H$104))</f>
        <v/>
      </c>
      <c r="H29" s="1"/>
    </row>
    <row r="30" spans="1:8" ht="3" customHeight="1" x14ac:dyDescent="0.3">
      <c r="A30" s="1"/>
      <c r="B30" s="7"/>
      <c r="C30" s="21"/>
      <c r="D30" s="21"/>
      <c r="E30" s="21"/>
      <c r="F30" s="21"/>
      <c r="G30" s="8"/>
      <c r="H30" s="1"/>
    </row>
    <row r="31" spans="1:8" x14ac:dyDescent="0.3">
      <c r="A31" s="1"/>
      <c r="B31" s="16"/>
      <c r="C31" s="17"/>
      <c r="D31" s="17"/>
      <c r="E31" s="17"/>
      <c r="F31" s="17"/>
      <c r="G31" s="18"/>
      <c r="H31" s="1"/>
    </row>
    <row r="32" spans="1:8" ht="21" customHeight="1" x14ac:dyDescent="0.3">
      <c r="A32" s="1"/>
      <c r="B32" s="107" t="s">
        <v>166</v>
      </c>
      <c r="C32" s="99"/>
      <c r="D32" s="99"/>
      <c r="E32" s="99"/>
      <c r="F32" s="99"/>
      <c r="G32" s="108"/>
      <c r="H32" s="1"/>
    </row>
    <row r="33" spans="1:8" ht="28.95" customHeight="1" x14ac:dyDescent="0.3">
      <c r="A33" s="1"/>
      <c r="B33" s="114" t="s">
        <v>167</v>
      </c>
      <c r="C33" s="114"/>
      <c r="D33" s="42" t="s">
        <v>168</v>
      </c>
      <c r="E33" s="19"/>
      <c r="F33" s="19"/>
      <c r="G33" s="19"/>
      <c r="H33" s="1"/>
    </row>
    <row r="34" spans="1:8" x14ac:dyDescent="0.3">
      <c r="A34" s="1"/>
      <c r="B34" s="115" t="s">
        <v>169</v>
      </c>
      <c r="C34" s="116"/>
      <c r="D34" s="75">
        <f>COUNTIF(Inventario!$Q$5:$Q$104,"COMPRAR YA")</f>
        <v>0</v>
      </c>
      <c r="E34" s="53"/>
      <c r="F34" s="53"/>
      <c r="G34" s="54"/>
      <c r="H34" s="1"/>
    </row>
    <row r="35" spans="1:8" x14ac:dyDescent="0.3">
      <c r="A35" s="1"/>
      <c r="B35" s="117" t="s">
        <v>170</v>
      </c>
      <c r="C35" s="118"/>
      <c r="D35" s="76">
        <f>SUMPRODUCT((Inventario!$Q$5:$Q$104="SIN ROTACIÓN")*Inventario!$E$5:$E$104*Inventario!$H$5:$H$104)</f>
        <v>2414400</v>
      </c>
      <c r="E35" s="55"/>
      <c r="F35" s="55"/>
      <c r="G35" s="56"/>
      <c r="H35" s="1"/>
    </row>
    <row r="36" spans="1:8" x14ac:dyDescent="0.3">
      <c r="A36" s="1"/>
      <c r="B36" s="115" t="s">
        <v>171</v>
      </c>
      <c r="C36" s="116"/>
      <c r="D36" s="77">
        <f>SUMPRODUCT((Inventario!$N$5:$N$104="C")*Inventario!$E$5:$E$104*Inventario!$H$5:$H$104)</f>
        <v>6095600</v>
      </c>
      <c r="E36" s="53"/>
      <c r="F36" s="53"/>
      <c r="G36" s="54"/>
      <c r="H36" s="1"/>
    </row>
    <row r="37" spans="1:8" x14ac:dyDescent="0.3">
      <c r="A37" s="1"/>
      <c r="B37" s="126" t="s">
        <v>172</v>
      </c>
      <c r="C37" s="127"/>
      <c r="D37" s="78">
        <f>COUNTIF(Inventario!$A$5:$A$104,"&lt;&gt;")</f>
        <v>45</v>
      </c>
      <c r="E37" s="55"/>
      <c r="F37" s="55"/>
      <c r="G37" s="56"/>
      <c r="H37" s="1"/>
    </row>
    <row r="38" spans="1:8" ht="3" customHeight="1" x14ac:dyDescent="0.3">
      <c r="A38" s="1"/>
      <c r="B38" s="47"/>
      <c r="C38" s="48"/>
      <c r="D38" s="48"/>
      <c r="E38" s="48"/>
      <c r="F38" s="48"/>
      <c r="G38" s="49"/>
      <c r="H38" s="1"/>
    </row>
    <row r="39" spans="1:8" x14ac:dyDescent="0.3">
      <c r="A39" s="1"/>
      <c r="B39" s="50"/>
      <c r="C39" s="51"/>
      <c r="D39" s="51"/>
      <c r="E39" s="51"/>
      <c r="F39" s="51"/>
      <c r="G39" s="52"/>
      <c r="H39" s="1"/>
    </row>
    <row r="40" spans="1:8" ht="21" customHeight="1" x14ac:dyDescent="0.3">
      <c r="A40" s="1"/>
      <c r="B40" s="107" t="s">
        <v>173</v>
      </c>
      <c r="C40" s="99"/>
      <c r="D40" s="99"/>
      <c r="E40" s="99"/>
      <c r="F40" s="99"/>
      <c r="G40" s="108"/>
      <c r="H40" s="1"/>
    </row>
    <row r="41" spans="1:8" ht="16.05" customHeight="1" x14ac:dyDescent="0.3">
      <c r="A41" s="1"/>
      <c r="B41" s="111" t="s">
        <v>174</v>
      </c>
      <c r="C41" s="112"/>
      <c r="D41" s="112"/>
      <c r="E41" s="112"/>
      <c r="F41" s="112"/>
      <c r="G41" s="113"/>
      <c r="H41" s="1"/>
    </row>
    <row r="42" spans="1:8" ht="16.05" customHeight="1" x14ac:dyDescent="0.3">
      <c r="A42" s="1"/>
      <c r="B42" s="111" t="s">
        <v>175</v>
      </c>
      <c r="C42" s="112"/>
      <c r="D42" s="112"/>
      <c r="E42" s="112"/>
      <c r="F42" s="112"/>
      <c r="G42" s="113"/>
      <c r="H42" s="1"/>
    </row>
    <row r="43" spans="1:8" ht="16.05" customHeight="1" x14ac:dyDescent="0.3">
      <c r="A43" s="1"/>
      <c r="B43" s="111" t="s">
        <v>176</v>
      </c>
      <c r="C43" s="112"/>
      <c r="D43" s="112"/>
      <c r="E43" s="112"/>
      <c r="F43" s="112"/>
      <c r="G43" s="113"/>
      <c r="H43" s="1"/>
    </row>
    <row r="44" spans="1:8" ht="16.05" customHeight="1" x14ac:dyDescent="0.3">
      <c r="A44" s="1"/>
      <c r="B44" s="111" t="s">
        <v>177</v>
      </c>
      <c r="C44" s="112"/>
      <c r="D44" s="112"/>
      <c r="E44" s="112"/>
      <c r="F44" s="112"/>
      <c r="G44" s="113"/>
      <c r="H44" s="1"/>
    </row>
    <row r="45" spans="1:8" ht="7.05" customHeight="1" x14ac:dyDescent="0.3">
      <c r="A45" s="1"/>
      <c r="B45" s="22"/>
      <c r="C45" s="23"/>
      <c r="D45" s="23"/>
      <c r="E45" s="23"/>
      <c r="F45" s="23"/>
      <c r="G45" s="24"/>
      <c r="H45" s="1"/>
    </row>
    <row r="46" spans="1:8" ht="3" customHeight="1" x14ac:dyDescent="0.3">
      <c r="A46" s="1"/>
      <c r="B46" s="3"/>
      <c r="C46" s="15"/>
      <c r="D46" s="15"/>
      <c r="E46" s="15"/>
      <c r="F46" s="15"/>
      <c r="G46" s="4"/>
      <c r="H46" s="1"/>
    </row>
    <row r="47" spans="1:8" ht="21" customHeight="1" x14ac:dyDescent="0.3">
      <c r="A47" s="1"/>
      <c r="B47" s="120" t="s">
        <v>151</v>
      </c>
      <c r="C47" s="120"/>
      <c r="D47" s="120"/>
      <c r="E47" s="120" t="s">
        <v>163</v>
      </c>
      <c r="F47" s="120"/>
      <c r="G47" s="120"/>
      <c r="H47" s="1"/>
    </row>
    <row r="48" spans="1:8" ht="13.95" customHeight="1" x14ac:dyDescent="0.3">
      <c r="A48" s="1"/>
      <c r="B48" s="119"/>
      <c r="C48" s="99"/>
      <c r="D48" s="99"/>
      <c r="E48" s="99"/>
      <c r="F48" s="99"/>
      <c r="G48" s="108"/>
      <c r="H48" s="1"/>
    </row>
    <row r="49" spans="1:8" x14ac:dyDescent="0.3">
      <c r="A49" s="1"/>
      <c r="B49" s="16"/>
      <c r="C49" s="17"/>
      <c r="D49" s="17"/>
      <c r="E49" s="17"/>
      <c r="F49" s="17"/>
      <c r="G49" s="18"/>
      <c r="H49" s="1"/>
    </row>
    <row r="50" spans="1:8" x14ac:dyDescent="0.3">
      <c r="A50" s="1"/>
      <c r="B50" s="16"/>
      <c r="C50" s="17"/>
      <c r="D50" s="17"/>
      <c r="E50" s="17"/>
      <c r="F50" s="17"/>
      <c r="G50" s="18"/>
      <c r="H50" s="1"/>
    </row>
    <row r="51" spans="1:8" x14ac:dyDescent="0.3">
      <c r="A51" s="1"/>
      <c r="B51" s="16"/>
      <c r="C51" s="17"/>
      <c r="D51" s="17"/>
      <c r="E51" s="17"/>
      <c r="F51" s="17"/>
      <c r="G51" s="18"/>
      <c r="H51" s="1"/>
    </row>
    <row r="52" spans="1:8" x14ac:dyDescent="0.3">
      <c r="A52" s="1"/>
      <c r="B52" s="16"/>
      <c r="C52" s="17"/>
      <c r="D52" s="17"/>
      <c r="E52" s="17"/>
      <c r="F52" s="17"/>
      <c r="G52" s="18"/>
      <c r="H52" s="1"/>
    </row>
    <row r="53" spans="1:8" x14ac:dyDescent="0.3">
      <c r="A53" s="1"/>
      <c r="B53" s="16"/>
      <c r="C53" s="17"/>
      <c r="D53" s="17"/>
      <c r="E53" s="17"/>
      <c r="F53" s="17"/>
      <c r="G53" s="18"/>
      <c r="H53" s="1"/>
    </row>
    <row r="54" spans="1:8" x14ac:dyDescent="0.3">
      <c r="A54" s="1"/>
      <c r="B54" s="16"/>
      <c r="C54" s="17"/>
      <c r="D54" s="17"/>
      <c r="E54" s="17"/>
      <c r="F54" s="17"/>
      <c r="G54" s="18"/>
      <c r="H54" s="1"/>
    </row>
    <row r="55" spans="1:8" x14ac:dyDescent="0.3">
      <c r="A55" s="1"/>
      <c r="B55" s="16"/>
      <c r="C55" s="17"/>
      <c r="D55" s="17"/>
      <c r="E55" s="17"/>
      <c r="F55" s="17"/>
      <c r="G55" s="18"/>
      <c r="H55" s="1"/>
    </row>
    <row r="56" spans="1:8" x14ac:dyDescent="0.3">
      <c r="A56" s="1"/>
      <c r="B56" s="16"/>
      <c r="C56" s="17"/>
      <c r="D56" s="17"/>
      <c r="E56" s="17"/>
      <c r="F56" s="17"/>
      <c r="G56" s="18"/>
      <c r="H56" s="1"/>
    </row>
    <row r="57" spans="1:8" x14ac:dyDescent="0.3">
      <c r="A57" s="1"/>
      <c r="B57" s="16"/>
      <c r="C57" s="17"/>
      <c r="D57" s="17"/>
      <c r="E57" s="17"/>
      <c r="F57" s="17"/>
      <c r="G57" s="18"/>
      <c r="H57" s="1"/>
    </row>
    <row r="58" spans="1:8" x14ac:dyDescent="0.3">
      <c r="A58" s="1"/>
      <c r="B58" s="16"/>
      <c r="C58" s="17"/>
      <c r="D58" s="17"/>
      <c r="E58" s="17"/>
      <c r="F58" s="17"/>
      <c r="G58" s="18"/>
      <c r="H58" s="1"/>
    </row>
    <row r="59" spans="1:8" x14ac:dyDescent="0.3">
      <c r="A59" s="1"/>
      <c r="B59" s="16"/>
      <c r="C59" s="17"/>
      <c r="D59" s="17"/>
      <c r="E59" s="17"/>
      <c r="F59" s="17"/>
      <c r="G59" s="18"/>
      <c r="H59" s="1"/>
    </row>
    <row r="60" spans="1:8" x14ac:dyDescent="0.3">
      <c r="A60" s="1"/>
      <c r="B60" s="16"/>
      <c r="C60" s="17"/>
      <c r="D60" s="17"/>
      <c r="E60" s="17"/>
      <c r="F60" s="17"/>
      <c r="G60" s="18"/>
      <c r="H60" s="1"/>
    </row>
    <row r="61" spans="1:8" x14ac:dyDescent="0.3">
      <c r="A61" s="1"/>
      <c r="B61" s="16"/>
      <c r="C61" s="17"/>
      <c r="D61" s="17"/>
      <c r="E61" s="17"/>
      <c r="F61" s="17"/>
      <c r="G61" s="18"/>
      <c r="H61" s="1"/>
    </row>
    <row r="62" spans="1:8" x14ac:dyDescent="0.3">
      <c r="A62" s="1"/>
      <c r="B62" s="22"/>
      <c r="C62" s="23"/>
      <c r="D62" s="23"/>
      <c r="E62" s="23"/>
      <c r="F62" s="23"/>
      <c r="G62" s="24"/>
      <c r="H62" s="1"/>
    </row>
    <row r="63" spans="1:8" x14ac:dyDescent="0.3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3">
      <c r="A64" s="1"/>
      <c r="B64" s="104" t="s">
        <v>178</v>
      </c>
      <c r="C64" s="104"/>
      <c r="D64" s="104"/>
      <c r="E64" s="104"/>
      <c r="F64" s="104"/>
      <c r="G64" s="104"/>
      <c r="H64" s="1"/>
    </row>
    <row r="65" spans="1:8" x14ac:dyDescent="0.3">
      <c r="A65" s="1"/>
      <c r="B65" s="1"/>
      <c r="C65" s="1"/>
      <c r="D65" s="1"/>
      <c r="E65" s="1"/>
      <c r="F65" s="1"/>
      <c r="G65" s="1"/>
      <c r="H65" s="1"/>
    </row>
  </sheetData>
  <sheetProtection sheet="1" objects="1" scenarios="1"/>
  <mergeCells count="32">
    <mergeCell ref="E47:G47"/>
    <mergeCell ref="B1:G1"/>
    <mergeCell ref="B43:G43"/>
    <mergeCell ref="F7:G7"/>
    <mergeCell ref="B19:G19"/>
    <mergeCell ref="F5:G5"/>
    <mergeCell ref="D4:E4"/>
    <mergeCell ref="B5:C5"/>
    <mergeCell ref="D5:E5"/>
    <mergeCell ref="B4:C4"/>
    <mergeCell ref="B36:C36"/>
    <mergeCell ref="B37:C37"/>
    <mergeCell ref="F4:G4"/>
    <mergeCell ref="B2:G2"/>
    <mergeCell ref="B41:G41"/>
    <mergeCell ref="B7:C7"/>
    <mergeCell ref="B64:G64"/>
    <mergeCell ref="B8:C8"/>
    <mergeCell ref="B32:G32"/>
    <mergeCell ref="F8:G8"/>
    <mergeCell ref="D7:E7"/>
    <mergeCell ref="B44:G44"/>
    <mergeCell ref="B40:G40"/>
    <mergeCell ref="D8:E8"/>
    <mergeCell ref="B42:G42"/>
    <mergeCell ref="B18:G18"/>
    <mergeCell ref="B11:G11"/>
    <mergeCell ref="B33:C33"/>
    <mergeCell ref="B34:C34"/>
    <mergeCell ref="B35:C35"/>
    <mergeCell ref="B48:G48"/>
    <mergeCell ref="B47:D47"/>
  </mergeCells>
  <conditionalFormatting sqref="C13:C15">
    <cfRule type="dataBar" priority="1">
      <dataBar>
        <cfvo type="num" val="0"/>
        <cfvo type="max"/>
        <color rgb="FF00D9B2"/>
      </dataBar>
    </cfRule>
  </conditionalFormatting>
  <conditionalFormatting sqref="C21:C29">
    <cfRule type="dataBar" priority="4">
      <dataBar>
        <cfvo type="num" val="0"/>
        <cfvo type="max"/>
        <color rgb="FF4C8DFF"/>
      </dataBar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zoomScaleNormal="100" workbookViewId="0">
      <selection activeCell="C14" sqref="C14:D14"/>
    </sheetView>
  </sheetViews>
  <sheetFormatPr baseColWidth="10" defaultColWidth="8.6640625" defaultRowHeight="14.4" x14ac:dyDescent="0.3"/>
  <cols>
    <col min="1" max="1" width="3" style="2" customWidth="1"/>
    <col min="2" max="2" width="30" style="2" customWidth="1"/>
    <col min="3" max="3" width="60" style="2" customWidth="1"/>
    <col min="4" max="4" width="14" style="2" customWidth="1"/>
    <col min="5" max="16384" width="8.6640625" style="2"/>
  </cols>
  <sheetData>
    <row r="1" spans="1:4" ht="30" customHeight="1" x14ac:dyDescent="0.3">
      <c r="A1" s="132" t="s">
        <v>0</v>
      </c>
      <c r="B1" s="133"/>
      <c r="C1" s="133"/>
      <c r="D1" s="133"/>
    </row>
    <row r="2" spans="1:4" ht="18" customHeight="1" x14ac:dyDescent="0.3">
      <c r="A2" s="131" t="s">
        <v>1</v>
      </c>
      <c r="B2" s="101"/>
      <c r="C2" s="101"/>
      <c r="D2" s="101"/>
    </row>
    <row r="4" spans="1:4" ht="54" customHeight="1" x14ac:dyDescent="0.3">
      <c r="B4" s="137" t="s">
        <v>2</v>
      </c>
      <c r="C4" s="137"/>
      <c r="D4" s="137"/>
    </row>
    <row r="7" spans="1:4" ht="15" customHeight="1" x14ac:dyDescent="0.3">
      <c r="B7" s="25" t="s">
        <v>213</v>
      </c>
    </row>
    <row r="8" spans="1:4" ht="28.8" customHeight="1" x14ac:dyDescent="0.3">
      <c r="B8" s="26" t="s">
        <v>3</v>
      </c>
      <c r="C8" s="134" t="s">
        <v>4</v>
      </c>
      <c r="D8" s="134"/>
    </row>
    <row r="9" spans="1:4" ht="28.8" customHeight="1" x14ac:dyDescent="0.3">
      <c r="B9" s="26" t="s">
        <v>5</v>
      </c>
      <c r="C9" s="134" t="s">
        <v>6</v>
      </c>
      <c r="D9" s="134"/>
    </row>
    <row r="10" spans="1:4" x14ac:dyDescent="0.3">
      <c r="B10" s="26" t="s">
        <v>7</v>
      </c>
      <c r="C10" s="134" t="s">
        <v>8</v>
      </c>
      <c r="D10" s="134"/>
    </row>
    <row r="11" spans="1:4" ht="28.8" customHeight="1" x14ac:dyDescent="0.3">
      <c r="B11" s="26" t="s">
        <v>9</v>
      </c>
      <c r="C11" s="134" t="s">
        <v>10</v>
      </c>
      <c r="D11" s="134"/>
    </row>
    <row r="13" spans="1:4" ht="15" customHeight="1" x14ac:dyDescent="0.3">
      <c r="B13" s="25" t="s">
        <v>214</v>
      </c>
    </row>
    <row r="14" spans="1:4" ht="15" customHeight="1" x14ac:dyDescent="0.3">
      <c r="B14" s="28" t="s">
        <v>11</v>
      </c>
      <c r="C14" s="138">
        <v>30</v>
      </c>
      <c r="D14" s="138"/>
    </row>
    <row r="15" spans="1:4" ht="15" customHeight="1" x14ac:dyDescent="0.3">
      <c r="B15" s="28" t="s">
        <v>12</v>
      </c>
      <c r="C15" s="139">
        <v>15</v>
      </c>
      <c r="D15" s="139"/>
    </row>
    <row r="16" spans="1:4" ht="15" customHeight="1" x14ac:dyDescent="0.3">
      <c r="B16" s="28" t="s">
        <v>13</v>
      </c>
      <c r="C16" s="139">
        <v>7</v>
      </c>
      <c r="D16" s="139"/>
    </row>
    <row r="17" spans="2:4" ht="21.6" customHeight="1" x14ac:dyDescent="0.3">
      <c r="B17" s="129" t="s">
        <v>14</v>
      </c>
      <c r="C17" s="130"/>
    </row>
    <row r="21" spans="2:4" ht="15" customHeight="1" x14ac:dyDescent="0.3">
      <c r="B21" s="25" t="s">
        <v>215</v>
      </c>
      <c r="C21" s="29"/>
    </row>
    <row r="22" spans="2:4" ht="15" customHeight="1" x14ac:dyDescent="0.3">
      <c r="B22" s="30" t="s">
        <v>216</v>
      </c>
      <c r="C22" s="31" t="s">
        <v>217</v>
      </c>
    </row>
    <row r="23" spans="2:4" ht="15" customHeight="1" x14ac:dyDescent="0.3">
      <c r="B23" s="32" t="s">
        <v>218</v>
      </c>
      <c r="C23" s="31" t="s">
        <v>219</v>
      </c>
    </row>
    <row r="24" spans="2:4" ht="15" customHeight="1" x14ac:dyDescent="0.3">
      <c r="B24" s="33" t="s">
        <v>220</v>
      </c>
      <c r="C24" s="31" t="s">
        <v>221</v>
      </c>
    </row>
    <row r="26" spans="2:4" ht="25.5" customHeight="1" x14ac:dyDescent="0.3">
      <c r="B26" s="135" t="s">
        <v>222</v>
      </c>
      <c r="C26" s="136"/>
      <c r="D26" s="136"/>
    </row>
    <row r="27" spans="2:4" x14ac:dyDescent="0.3">
      <c r="B27" s="136"/>
      <c r="C27" s="136"/>
      <c r="D27" s="136"/>
    </row>
    <row r="28" spans="2:4" x14ac:dyDescent="0.3">
      <c r="B28" s="136"/>
      <c r="C28" s="136"/>
      <c r="D28" s="136"/>
    </row>
    <row r="29" spans="2:4" x14ac:dyDescent="0.3">
      <c r="B29" s="136"/>
      <c r="C29" s="136"/>
      <c r="D29" s="136"/>
    </row>
  </sheetData>
  <mergeCells count="12">
    <mergeCell ref="B17:C17"/>
    <mergeCell ref="A2:D2"/>
    <mergeCell ref="A1:D1"/>
    <mergeCell ref="C8:D8"/>
    <mergeCell ref="B26:D29"/>
    <mergeCell ref="B4:D4"/>
    <mergeCell ref="C9:D9"/>
    <mergeCell ref="C10:D10"/>
    <mergeCell ref="C11:D11"/>
    <mergeCell ref="C14:D14"/>
    <mergeCell ref="C15:D15"/>
    <mergeCell ref="C16:D1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6"/>
  <sheetViews>
    <sheetView showGridLines="0" tabSelected="1" zoomScaleNormal="100" workbookViewId="0">
      <pane xSplit="2" ySplit="4" topLeftCell="E5" activePane="bottomRight" state="frozen"/>
      <selection pane="topRight" activeCell="C1" sqref="C1"/>
      <selection pane="bottomLeft" activeCell="A5" sqref="A5"/>
      <selection pane="bottomRight" activeCell="O10" sqref="O10"/>
    </sheetView>
  </sheetViews>
  <sheetFormatPr baseColWidth="10" defaultColWidth="8.6640625" defaultRowHeight="14.4" x14ac:dyDescent="0.3"/>
  <cols>
    <col min="1" max="1" width="12" style="2" customWidth="1"/>
    <col min="2" max="2" width="32" style="2" customWidth="1"/>
    <col min="3" max="3" width="17.77734375" style="2" customWidth="1"/>
    <col min="4" max="4" width="18" style="2" customWidth="1"/>
    <col min="5" max="6" width="13" style="2" customWidth="1"/>
    <col min="7" max="7" width="10" style="27" customWidth="1"/>
    <col min="8" max="8" width="11" style="2" customWidth="1"/>
    <col min="9" max="9" width="12" style="27" customWidth="1"/>
    <col min="10" max="11" width="15" style="2" customWidth="1"/>
    <col min="12" max="12" width="11" style="27" customWidth="1"/>
    <col min="13" max="13" width="12" style="27" customWidth="1"/>
    <col min="14" max="14" width="10" style="2" customWidth="1"/>
    <col min="15" max="15" width="13" style="27" customWidth="1"/>
    <col min="16" max="16" width="14" style="27" customWidth="1"/>
    <col min="17" max="17" width="12.77734375" style="2" customWidth="1"/>
    <col min="18" max="18" width="13" style="2" hidden="1" customWidth="1"/>
    <col min="19" max="16384" width="8.6640625" style="2"/>
  </cols>
  <sheetData>
    <row r="1" spans="1:18" ht="30" customHeight="1" x14ac:dyDescent="0.3">
      <c r="A1" s="132" t="s">
        <v>15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8" ht="18" customHeight="1" x14ac:dyDescent="0.3">
      <c r="A2" s="131" t="s">
        <v>223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4" spans="1:18" ht="30" customHeight="1" x14ac:dyDescent="0.3">
      <c r="A4" s="34" t="s">
        <v>16</v>
      </c>
      <c r="B4" s="34" t="s">
        <v>17</v>
      </c>
      <c r="C4" s="34" t="s">
        <v>18</v>
      </c>
      <c r="D4" s="34" t="s">
        <v>19</v>
      </c>
      <c r="E4" s="34" t="s">
        <v>20</v>
      </c>
      <c r="F4" s="34" t="s">
        <v>21</v>
      </c>
      <c r="G4" s="34" t="s">
        <v>22</v>
      </c>
      <c r="H4" s="34" t="s">
        <v>23</v>
      </c>
      <c r="I4" s="34" t="s">
        <v>24</v>
      </c>
      <c r="J4" s="34" t="s">
        <v>25</v>
      </c>
      <c r="K4" s="34" t="s">
        <v>26</v>
      </c>
      <c r="L4" s="34" t="s">
        <v>27</v>
      </c>
      <c r="M4" s="34" t="s">
        <v>28</v>
      </c>
      <c r="N4" s="34" t="s">
        <v>29</v>
      </c>
      <c r="O4" s="34" t="s">
        <v>30</v>
      </c>
      <c r="P4" s="34" t="s">
        <v>31</v>
      </c>
      <c r="Q4" s="34" t="s">
        <v>32</v>
      </c>
    </row>
    <row r="5" spans="1:18" ht="15" customHeight="1" x14ac:dyDescent="0.3">
      <c r="A5" s="89" t="s">
        <v>33</v>
      </c>
      <c r="B5" s="89" t="s">
        <v>34</v>
      </c>
      <c r="C5" s="89" t="s">
        <v>35</v>
      </c>
      <c r="D5" s="89" t="s">
        <v>36</v>
      </c>
      <c r="E5" s="90">
        <v>180</v>
      </c>
      <c r="F5" s="90">
        <v>450</v>
      </c>
      <c r="G5" s="82">
        <f t="shared" ref="G5:G36" si="0">IFERROR(($F5-$E5)/$F5,"")</f>
        <v>0.6</v>
      </c>
      <c r="H5" s="91">
        <v>331</v>
      </c>
      <c r="I5" s="83">
        <f>IF($A5="",0,SUMIFS(Ventas!$D$5:$D$204,Ventas!$B$5:$B$204,$A5))</f>
        <v>432</v>
      </c>
      <c r="J5" s="84">
        <f t="shared" ref="J5:J36" si="1">IF($A5="",0,$I5*$F5)</f>
        <v>194400</v>
      </c>
      <c r="K5" s="84">
        <f t="shared" ref="K5:K36" si="2">IF($A5="",0,$I5*($F5-$E5))</f>
        <v>116640</v>
      </c>
      <c r="L5" s="82">
        <f t="shared" ref="L5:L104" si="3">IFERROR($J5/SUM($J$5:$J$104),"")</f>
        <v>3.2438710194165034E-2</v>
      </c>
      <c r="M5" s="85">
        <f t="shared" ref="M5:M104" si="4">IF($A5="","",COUNTIF($R$5:$R$104,"&gt;"&amp;$R5)+1)</f>
        <v>8</v>
      </c>
      <c r="N5" s="86" t="str">
        <f t="shared" ref="N5:N104" si="5">IF($A5="","",IF($M5&lt;=MAX(1,ROUND(COUNTIF($A$5:$A$104,"&lt;&gt;")*0.2,0)),"A",IF($M5&lt;=MAX(1,ROUND(COUNTIF($A$5:$A$104,"&lt;&gt;")*0.5,0)),"B","C")))</f>
        <v>A</v>
      </c>
      <c r="O5" s="85">
        <f>IFERROR($H5/($I5/Instrucciones!$C$14),"")</f>
        <v>22.986111111111111</v>
      </c>
      <c r="P5" s="86">
        <f>IFERROR(ROUND(($I5/Instrucciones!$C$14)*(Instrucciones!$C$15+Instrucciones!$C$16),0),"")</f>
        <v>317</v>
      </c>
      <c r="Q5" s="86" t="str">
        <f>IF($A5="","",IF($I5=0,"SIN ROTACIÓN",IF($H5&lt;=$P5,"COMPRAR","OK")))</f>
        <v>OK</v>
      </c>
      <c r="R5" s="87">
        <f t="shared" ref="R5:R36" si="6">IF($A5="",0,$J5)</f>
        <v>194400</v>
      </c>
    </row>
    <row r="6" spans="1:18" ht="15" customHeight="1" x14ac:dyDescent="0.3">
      <c r="A6" s="89" t="s">
        <v>37</v>
      </c>
      <c r="B6" s="89" t="s">
        <v>38</v>
      </c>
      <c r="C6" s="89" t="s">
        <v>35</v>
      </c>
      <c r="D6" s="89" t="s">
        <v>39</v>
      </c>
      <c r="E6" s="90">
        <v>140</v>
      </c>
      <c r="F6" s="90">
        <v>360</v>
      </c>
      <c r="G6" s="82">
        <f t="shared" si="0"/>
        <v>0.61111111111111116</v>
      </c>
      <c r="H6" s="91">
        <v>640</v>
      </c>
      <c r="I6" s="83">
        <f>IF($A6="",0,SUMIFS(Ventas!$D$5:$D$204,Ventas!$B$5:$B$204,$A6))</f>
        <v>372</v>
      </c>
      <c r="J6" s="84">
        <f t="shared" si="1"/>
        <v>133920</v>
      </c>
      <c r="K6" s="84">
        <f t="shared" si="2"/>
        <v>81840</v>
      </c>
      <c r="L6" s="82">
        <f t="shared" si="3"/>
        <v>2.2346667022647024E-2</v>
      </c>
      <c r="M6" s="85">
        <f t="shared" si="4"/>
        <v>13</v>
      </c>
      <c r="N6" s="86" t="str">
        <f t="shared" si="5"/>
        <v>B</v>
      </c>
      <c r="O6" s="85">
        <f>IFERROR($H6/($I6/Instrucciones!$C$14),"")</f>
        <v>51.612903225806448</v>
      </c>
      <c r="P6" s="86">
        <f>IFERROR(ROUND(($I6/Instrucciones!$C$14)*(Instrucciones!$C$15+Instrucciones!$C$16),0),"")</f>
        <v>273</v>
      </c>
      <c r="Q6" s="86" t="str">
        <f t="shared" ref="Q6:Q104" si="7">IF($A6="","",IF($I6=0,"SIN ROTACIÓN",IF($H6&lt;=$P6,"COMPRAR","OK")))</f>
        <v>OK</v>
      </c>
      <c r="R6" s="88">
        <f t="shared" si="6"/>
        <v>133920</v>
      </c>
    </row>
    <row r="7" spans="1:18" ht="15" customHeight="1" x14ac:dyDescent="0.3">
      <c r="A7" s="89" t="s">
        <v>40</v>
      </c>
      <c r="B7" s="89" t="s">
        <v>41</v>
      </c>
      <c r="C7" s="89" t="s">
        <v>35</v>
      </c>
      <c r="D7" s="89" t="s">
        <v>42</v>
      </c>
      <c r="E7" s="90">
        <v>120</v>
      </c>
      <c r="F7" s="90">
        <v>320</v>
      </c>
      <c r="G7" s="82">
        <f t="shared" si="0"/>
        <v>0.625</v>
      </c>
      <c r="H7" s="91">
        <v>194</v>
      </c>
      <c r="I7" s="83">
        <f>IF($A7="",0,SUMIFS(Ventas!$D$5:$D$204,Ventas!$B$5:$B$204,$A7))</f>
        <v>248</v>
      </c>
      <c r="J7" s="84">
        <f t="shared" si="1"/>
        <v>79360</v>
      </c>
      <c r="K7" s="84">
        <f t="shared" si="2"/>
        <v>49600</v>
      </c>
      <c r="L7" s="82">
        <f t="shared" si="3"/>
        <v>1.3242469346753792E-2</v>
      </c>
      <c r="M7" s="85">
        <f t="shared" si="4"/>
        <v>19</v>
      </c>
      <c r="N7" s="86" t="str">
        <f t="shared" si="5"/>
        <v>B</v>
      </c>
      <c r="O7" s="85">
        <f>IFERROR($H7/($I7/Instrucciones!$C$14),"")</f>
        <v>23.467741935483868</v>
      </c>
      <c r="P7" s="86">
        <f>IFERROR(ROUND(($I7/Instrucciones!$C$14)*(Instrucciones!$C$15+Instrucciones!$C$16),0),"")</f>
        <v>182</v>
      </c>
      <c r="Q7" s="86" t="str">
        <f t="shared" si="7"/>
        <v>OK</v>
      </c>
      <c r="R7" s="88">
        <f t="shared" si="6"/>
        <v>79360</v>
      </c>
    </row>
    <row r="8" spans="1:18" ht="15" customHeight="1" x14ac:dyDescent="0.3">
      <c r="A8" s="89" t="s">
        <v>43</v>
      </c>
      <c r="B8" s="89" t="s">
        <v>44</v>
      </c>
      <c r="C8" s="89" t="s">
        <v>35</v>
      </c>
      <c r="D8" s="89" t="s">
        <v>45</v>
      </c>
      <c r="E8" s="90">
        <v>3200</v>
      </c>
      <c r="F8" s="90">
        <v>7800</v>
      </c>
      <c r="G8" s="82">
        <f t="shared" si="0"/>
        <v>0.58974358974358976</v>
      </c>
      <c r="H8" s="91">
        <v>180</v>
      </c>
      <c r="I8" s="83">
        <f>IF($A8="",0,SUMIFS(Ventas!$D$5:$D$204,Ventas!$B$5:$B$204,$A8))</f>
        <v>34</v>
      </c>
      <c r="J8" s="84">
        <f t="shared" si="1"/>
        <v>265200</v>
      </c>
      <c r="K8" s="84">
        <f t="shared" si="2"/>
        <v>156400</v>
      </c>
      <c r="L8" s="82">
        <f t="shared" si="3"/>
        <v>4.4252808351299217E-2</v>
      </c>
      <c r="M8" s="85">
        <f t="shared" si="4"/>
        <v>6</v>
      </c>
      <c r="N8" s="86" t="str">
        <f t="shared" si="5"/>
        <v>A</v>
      </c>
      <c r="O8" s="85">
        <f>IFERROR($H8/($I8/Instrucciones!$C$14),"")</f>
        <v>158.8235294117647</v>
      </c>
      <c r="P8" s="86">
        <f>IFERROR(ROUND(($I8/Instrucciones!$C$14)*(Instrucciones!$C$15+Instrucciones!$C$16),0),"")</f>
        <v>25</v>
      </c>
      <c r="Q8" s="86" t="str">
        <f t="shared" si="7"/>
        <v>OK</v>
      </c>
      <c r="R8" s="88">
        <f t="shared" si="6"/>
        <v>265200</v>
      </c>
    </row>
    <row r="9" spans="1:18" ht="15" customHeight="1" x14ac:dyDescent="0.3">
      <c r="A9" s="89" t="s">
        <v>46</v>
      </c>
      <c r="B9" s="89" t="s">
        <v>47</v>
      </c>
      <c r="C9" s="89" t="s">
        <v>35</v>
      </c>
      <c r="D9" s="89" t="s">
        <v>48</v>
      </c>
      <c r="E9" s="90">
        <v>210</v>
      </c>
      <c r="F9" s="90">
        <v>520</v>
      </c>
      <c r="G9" s="82">
        <f t="shared" si="0"/>
        <v>0.59615384615384615</v>
      </c>
      <c r="H9" s="91">
        <v>300</v>
      </c>
      <c r="I9" s="83">
        <f>IF($A9="",0,SUMIFS(Ventas!$D$5:$D$204,Ventas!$B$5:$B$204,$A9))</f>
        <v>78</v>
      </c>
      <c r="J9" s="84">
        <f t="shared" si="1"/>
        <v>40560</v>
      </c>
      <c r="K9" s="84">
        <f t="shared" si="2"/>
        <v>24180</v>
      </c>
      <c r="L9" s="82">
        <f t="shared" si="3"/>
        <v>6.7680765713751742E-3</v>
      </c>
      <c r="M9" s="85">
        <f t="shared" si="4"/>
        <v>35</v>
      </c>
      <c r="N9" s="86" t="str">
        <f t="shared" si="5"/>
        <v>C</v>
      </c>
      <c r="O9" s="85">
        <f>IFERROR($H9/($I9/Instrucciones!$C$14),"")</f>
        <v>115.38461538461539</v>
      </c>
      <c r="P9" s="86">
        <f>IFERROR(ROUND(($I9/Instrucciones!$C$14)*(Instrucciones!$C$15+Instrucciones!$C$16),0),"")</f>
        <v>57</v>
      </c>
      <c r="Q9" s="86" t="str">
        <f t="shared" si="7"/>
        <v>OK</v>
      </c>
      <c r="R9" s="88">
        <f t="shared" si="6"/>
        <v>40560</v>
      </c>
    </row>
    <row r="10" spans="1:18" ht="15" customHeight="1" x14ac:dyDescent="0.3">
      <c r="A10" s="89" t="s">
        <v>49</v>
      </c>
      <c r="B10" s="89" t="s">
        <v>50</v>
      </c>
      <c r="C10" s="89" t="s">
        <v>51</v>
      </c>
      <c r="D10" s="89" t="s">
        <v>36</v>
      </c>
      <c r="E10" s="90">
        <v>18500</v>
      </c>
      <c r="F10" s="90">
        <v>42000</v>
      </c>
      <c r="G10" s="82">
        <f t="shared" si="0"/>
        <v>0.55952380952380953</v>
      </c>
      <c r="H10" s="91">
        <v>34</v>
      </c>
      <c r="I10" s="83">
        <f>IF($A10="",0,SUMIFS(Ventas!$D$5:$D$204,Ventas!$B$5:$B$204,$A10))</f>
        <v>3</v>
      </c>
      <c r="J10" s="84">
        <f t="shared" si="1"/>
        <v>126000</v>
      </c>
      <c r="K10" s="84">
        <f t="shared" si="2"/>
        <v>70500</v>
      </c>
      <c r="L10" s="82">
        <f t="shared" si="3"/>
        <v>2.1025089940662524E-2</v>
      </c>
      <c r="M10" s="85">
        <f t="shared" si="4"/>
        <v>14</v>
      </c>
      <c r="N10" s="86" t="str">
        <f t="shared" si="5"/>
        <v>B</v>
      </c>
      <c r="O10" s="85">
        <f>IFERROR($H10/($I10/Instrucciones!$C$14),"")</f>
        <v>340</v>
      </c>
      <c r="P10" s="86">
        <f>IFERROR(ROUND(($I10/Instrucciones!$C$14)*(Instrucciones!$C$15+Instrucciones!$C$16),0),"")</f>
        <v>2</v>
      </c>
      <c r="Q10" s="86" t="str">
        <f t="shared" si="7"/>
        <v>OK</v>
      </c>
      <c r="R10" s="88">
        <f t="shared" si="6"/>
        <v>126000</v>
      </c>
    </row>
    <row r="11" spans="1:18" ht="15" customHeight="1" x14ac:dyDescent="0.3">
      <c r="A11" s="89" t="s">
        <v>52</v>
      </c>
      <c r="B11" s="89" t="s">
        <v>53</v>
      </c>
      <c r="C11" s="89" t="s">
        <v>51</v>
      </c>
      <c r="D11" s="89" t="s">
        <v>39</v>
      </c>
      <c r="E11" s="90">
        <v>6200</v>
      </c>
      <c r="F11" s="90">
        <v>15900</v>
      </c>
      <c r="G11" s="82">
        <f t="shared" si="0"/>
        <v>0.61006289308176098</v>
      </c>
      <c r="H11" s="91">
        <v>58</v>
      </c>
      <c r="I11" s="83">
        <f>IF($A11="",0,SUMIFS(Ventas!$D$5:$D$204,Ventas!$B$5:$B$204,$A11))</f>
        <v>3</v>
      </c>
      <c r="J11" s="84">
        <f t="shared" si="1"/>
        <v>47700</v>
      </c>
      <c r="K11" s="84">
        <f t="shared" si="2"/>
        <v>29100</v>
      </c>
      <c r="L11" s="82">
        <f t="shared" si="3"/>
        <v>7.9594983346793838E-3</v>
      </c>
      <c r="M11" s="85">
        <f t="shared" si="4"/>
        <v>31</v>
      </c>
      <c r="N11" s="86" t="str">
        <f t="shared" si="5"/>
        <v>C</v>
      </c>
      <c r="O11" s="85">
        <f>IFERROR($H11/($I11/Instrucciones!$C$14),"")</f>
        <v>580</v>
      </c>
      <c r="P11" s="86">
        <f>IFERROR(ROUND(($I11/Instrucciones!$C$14)*(Instrucciones!$C$15+Instrucciones!$C$16),0),"")</f>
        <v>2</v>
      </c>
      <c r="Q11" s="86" t="str">
        <f t="shared" si="7"/>
        <v>OK</v>
      </c>
      <c r="R11" s="88">
        <f t="shared" si="6"/>
        <v>47700</v>
      </c>
    </row>
    <row r="12" spans="1:18" ht="15" customHeight="1" x14ac:dyDescent="0.3">
      <c r="A12" s="89" t="s">
        <v>54</v>
      </c>
      <c r="B12" s="89" t="s">
        <v>55</v>
      </c>
      <c r="C12" s="89" t="s">
        <v>51</v>
      </c>
      <c r="D12" s="89" t="s">
        <v>42</v>
      </c>
      <c r="E12" s="90">
        <v>14800</v>
      </c>
      <c r="F12" s="90">
        <v>36500</v>
      </c>
      <c r="G12" s="82">
        <f t="shared" si="0"/>
        <v>0.59452054794520548</v>
      </c>
      <c r="H12" s="91">
        <v>26</v>
      </c>
      <c r="I12" s="83">
        <f>IF($A12="",0,SUMIFS(Ventas!$D$5:$D$204,Ventas!$B$5:$B$204,$A12))</f>
        <v>2</v>
      </c>
      <c r="J12" s="84">
        <f t="shared" si="1"/>
        <v>73000</v>
      </c>
      <c r="K12" s="84">
        <f t="shared" si="2"/>
        <v>43400</v>
      </c>
      <c r="L12" s="82">
        <f t="shared" si="3"/>
        <v>1.2181202902129875E-2</v>
      </c>
      <c r="M12" s="85">
        <f t="shared" si="4"/>
        <v>23</v>
      </c>
      <c r="N12" s="86" t="str">
        <f t="shared" si="5"/>
        <v>B</v>
      </c>
      <c r="O12" s="85">
        <f>IFERROR($H12/($I12/Instrucciones!$C$14),"")</f>
        <v>390</v>
      </c>
      <c r="P12" s="86">
        <f>IFERROR(ROUND(($I12/Instrucciones!$C$14)*(Instrucciones!$C$15+Instrucciones!$C$16),0),"")</f>
        <v>1</v>
      </c>
      <c r="Q12" s="86" t="str">
        <f t="shared" si="7"/>
        <v>OK</v>
      </c>
      <c r="R12" s="88">
        <f t="shared" si="6"/>
        <v>73000</v>
      </c>
    </row>
    <row r="13" spans="1:18" ht="15" customHeight="1" x14ac:dyDescent="0.3">
      <c r="A13" s="89" t="s">
        <v>56</v>
      </c>
      <c r="B13" s="89" t="s">
        <v>57</v>
      </c>
      <c r="C13" s="89" t="s">
        <v>51</v>
      </c>
      <c r="D13" s="89" t="s">
        <v>45</v>
      </c>
      <c r="E13" s="90">
        <v>26000</v>
      </c>
      <c r="F13" s="90">
        <v>62000</v>
      </c>
      <c r="G13" s="82">
        <f t="shared" si="0"/>
        <v>0.58064516129032262</v>
      </c>
      <c r="H13" s="91">
        <v>18</v>
      </c>
      <c r="I13" s="83">
        <f>IF($A13="",0,SUMIFS(Ventas!$D$5:$D$204,Ventas!$B$5:$B$204,$A13))</f>
        <v>0</v>
      </c>
      <c r="J13" s="84">
        <f t="shared" si="1"/>
        <v>0</v>
      </c>
      <c r="K13" s="84">
        <f t="shared" si="2"/>
        <v>0</v>
      </c>
      <c r="L13" s="82">
        <f t="shared" si="3"/>
        <v>0</v>
      </c>
      <c r="M13" s="85">
        <f t="shared" si="4"/>
        <v>38</v>
      </c>
      <c r="N13" s="86" t="str">
        <f t="shared" si="5"/>
        <v>C</v>
      </c>
      <c r="O13" s="85" t="str">
        <f>IFERROR($H13/($I13/Instrucciones!$C$14),"")</f>
        <v/>
      </c>
      <c r="P13" s="86">
        <f>IFERROR(ROUND(($I13/Instrucciones!$C$14)*(Instrucciones!$C$15+Instrucciones!$C$16),0),"")</f>
        <v>0</v>
      </c>
      <c r="Q13" s="86" t="str">
        <f t="shared" si="7"/>
        <v>SIN ROTACIÓN</v>
      </c>
      <c r="R13" s="88">
        <f t="shared" si="6"/>
        <v>0</v>
      </c>
    </row>
    <row r="14" spans="1:18" ht="15" customHeight="1" x14ac:dyDescent="0.3">
      <c r="A14" s="89" t="s">
        <v>58</v>
      </c>
      <c r="B14" s="89" t="s">
        <v>59</v>
      </c>
      <c r="C14" s="89" t="s">
        <v>51</v>
      </c>
      <c r="D14" s="89" t="s">
        <v>48</v>
      </c>
      <c r="E14" s="90">
        <v>21000</v>
      </c>
      <c r="F14" s="90">
        <v>49000</v>
      </c>
      <c r="G14" s="82">
        <f t="shared" si="0"/>
        <v>0.5714285714285714</v>
      </c>
      <c r="H14" s="91">
        <v>14</v>
      </c>
      <c r="I14" s="83">
        <f>IF($A14="",0,SUMIFS(Ventas!$D$5:$D$204,Ventas!$B$5:$B$204,$A14))</f>
        <v>0</v>
      </c>
      <c r="J14" s="84">
        <f t="shared" si="1"/>
        <v>0</v>
      </c>
      <c r="K14" s="84">
        <f t="shared" si="2"/>
        <v>0</v>
      </c>
      <c r="L14" s="82">
        <f t="shared" si="3"/>
        <v>0</v>
      </c>
      <c r="M14" s="85">
        <f t="shared" si="4"/>
        <v>38</v>
      </c>
      <c r="N14" s="86" t="str">
        <f t="shared" si="5"/>
        <v>C</v>
      </c>
      <c r="O14" s="85" t="str">
        <f>IFERROR($H14/($I14/Instrucciones!$C$14),"")</f>
        <v/>
      </c>
      <c r="P14" s="86">
        <f>IFERROR(ROUND(($I14/Instrucciones!$C$14)*(Instrucciones!$C$15+Instrucciones!$C$16),0),"")</f>
        <v>0</v>
      </c>
      <c r="Q14" s="86" t="str">
        <f t="shared" si="7"/>
        <v>SIN ROTACIÓN</v>
      </c>
      <c r="R14" s="88">
        <f t="shared" si="6"/>
        <v>0</v>
      </c>
    </row>
    <row r="15" spans="1:18" ht="15" customHeight="1" x14ac:dyDescent="0.3">
      <c r="A15" s="89" t="s">
        <v>60</v>
      </c>
      <c r="B15" s="89" t="s">
        <v>61</v>
      </c>
      <c r="C15" s="89" t="s">
        <v>51</v>
      </c>
      <c r="D15" s="89" t="s">
        <v>36</v>
      </c>
      <c r="E15" s="90">
        <v>9800</v>
      </c>
      <c r="F15" s="90">
        <v>24500</v>
      </c>
      <c r="G15" s="82">
        <f t="shared" si="0"/>
        <v>0.6</v>
      </c>
      <c r="H15" s="91">
        <v>42</v>
      </c>
      <c r="I15" s="83">
        <f>IF($A15="",0,SUMIFS(Ventas!$D$5:$D$204,Ventas!$B$5:$B$204,$A15))</f>
        <v>3</v>
      </c>
      <c r="J15" s="84">
        <f t="shared" si="1"/>
        <v>73500</v>
      </c>
      <c r="K15" s="84">
        <f t="shared" si="2"/>
        <v>44100</v>
      </c>
      <c r="L15" s="82">
        <f t="shared" si="3"/>
        <v>1.2264635798719805E-2</v>
      </c>
      <c r="M15" s="85">
        <f t="shared" si="4"/>
        <v>21</v>
      </c>
      <c r="N15" s="86" t="str">
        <f t="shared" si="5"/>
        <v>B</v>
      </c>
      <c r="O15" s="85">
        <f>IFERROR($H15/($I15/Instrucciones!$C$14),"")</f>
        <v>420</v>
      </c>
      <c r="P15" s="86">
        <f>IFERROR(ROUND(($I15/Instrucciones!$C$14)*(Instrucciones!$C$15+Instrucciones!$C$16),0),"")</f>
        <v>2</v>
      </c>
      <c r="Q15" s="86" t="str">
        <f t="shared" si="7"/>
        <v>OK</v>
      </c>
      <c r="R15" s="88">
        <f t="shared" si="6"/>
        <v>73500</v>
      </c>
    </row>
    <row r="16" spans="1:18" ht="15" customHeight="1" x14ac:dyDescent="0.3">
      <c r="A16" s="89" t="s">
        <v>62</v>
      </c>
      <c r="B16" s="89" t="s">
        <v>63</v>
      </c>
      <c r="C16" s="89" t="s">
        <v>64</v>
      </c>
      <c r="D16" s="89" t="s">
        <v>39</v>
      </c>
      <c r="E16" s="90">
        <v>38000</v>
      </c>
      <c r="F16" s="90">
        <v>79000</v>
      </c>
      <c r="G16" s="82">
        <f t="shared" si="0"/>
        <v>0.51898734177215189</v>
      </c>
      <c r="H16" s="91">
        <v>46</v>
      </c>
      <c r="I16" s="83">
        <f>IF($A16="",0,SUMIFS(Ventas!$D$5:$D$204,Ventas!$B$5:$B$204,$A16))</f>
        <v>6</v>
      </c>
      <c r="J16" s="84">
        <f t="shared" si="1"/>
        <v>474000</v>
      </c>
      <c r="K16" s="84">
        <f t="shared" si="2"/>
        <v>246000</v>
      </c>
      <c r="L16" s="82">
        <f t="shared" si="3"/>
        <v>7.9094385967254252E-2</v>
      </c>
      <c r="M16" s="85">
        <f t="shared" si="4"/>
        <v>4</v>
      </c>
      <c r="N16" s="86" t="str">
        <f t="shared" si="5"/>
        <v>A</v>
      </c>
      <c r="O16" s="85">
        <f>IFERROR($H16/($I16/Instrucciones!$C$14),"")</f>
        <v>230</v>
      </c>
      <c r="P16" s="86">
        <f>IFERROR(ROUND(($I16/Instrucciones!$C$14)*(Instrucciones!$C$15+Instrucciones!$C$16),0),"")</f>
        <v>4</v>
      </c>
      <c r="Q16" s="86" t="str">
        <f t="shared" si="7"/>
        <v>OK</v>
      </c>
      <c r="R16" s="88">
        <f t="shared" si="6"/>
        <v>474000</v>
      </c>
    </row>
    <row r="17" spans="1:18" ht="15" customHeight="1" x14ac:dyDescent="0.3">
      <c r="A17" s="89" t="s">
        <v>65</v>
      </c>
      <c r="B17" s="89" t="s">
        <v>66</v>
      </c>
      <c r="C17" s="89" t="s">
        <v>64</v>
      </c>
      <c r="D17" s="89" t="s">
        <v>42</v>
      </c>
      <c r="E17" s="90">
        <v>41000</v>
      </c>
      <c r="F17" s="90">
        <v>86000</v>
      </c>
      <c r="G17" s="82">
        <f t="shared" si="0"/>
        <v>0.52325581395348841</v>
      </c>
      <c r="H17" s="91">
        <v>30</v>
      </c>
      <c r="I17" s="83">
        <f>IF($A17="",0,SUMIFS(Ventas!$D$5:$D$204,Ventas!$B$5:$B$204,$A17))</f>
        <v>5</v>
      </c>
      <c r="J17" s="84">
        <f t="shared" si="1"/>
        <v>430000</v>
      </c>
      <c r="K17" s="84">
        <f t="shared" si="2"/>
        <v>225000</v>
      </c>
      <c r="L17" s="82">
        <f t="shared" si="3"/>
        <v>7.1752291067340365E-2</v>
      </c>
      <c r="M17" s="85">
        <f t="shared" si="4"/>
        <v>5</v>
      </c>
      <c r="N17" s="86" t="str">
        <f t="shared" si="5"/>
        <v>A</v>
      </c>
      <c r="O17" s="85">
        <f>IFERROR($H17/($I17/Instrucciones!$C$14),"")</f>
        <v>180</v>
      </c>
      <c r="P17" s="86">
        <f>IFERROR(ROUND(($I17/Instrucciones!$C$14)*(Instrucciones!$C$15+Instrucciones!$C$16),0),"")</f>
        <v>4</v>
      </c>
      <c r="Q17" s="86" t="str">
        <f t="shared" si="7"/>
        <v>OK</v>
      </c>
      <c r="R17" s="88">
        <f t="shared" si="6"/>
        <v>430000</v>
      </c>
    </row>
    <row r="18" spans="1:18" ht="15" customHeight="1" x14ac:dyDescent="0.3">
      <c r="A18" s="89" t="s">
        <v>67</v>
      </c>
      <c r="B18" s="89" t="s">
        <v>68</v>
      </c>
      <c r="C18" s="89" t="s">
        <v>64</v>
      </c>
      <c r="D18" s="89" t="s">
        <v>45</v>
      </c>
      <c r="E18" s="90">
        <v>17500</v>
      </c>
      <c r="F18" s="90">
        <v>39000</v>
      </c>
      <c r="G18" s="82">
        <f t="shared" si="0"/>
        <v>0.55128205128205132</v>
      </c>
      <c r="H18" s="91">
        <v>38</v>
      </c>
      <c r="I18" s="83">
        <f>IF($A18="",0,SUMIFS(Ventas!$D$5:$D$204,Ventas!$B$5:$B$204,$A18))</f>
        <v>3</v>
      </c>
      <c r="J18" s="84">
        <f t="shared" si="1"/>
        <v>117000</v>
      </c>
      <c r="K18" s="84">
        <f t="shared" si="2"/>
        <v>64500</v>
      </c>
      <c r="L18" s="82">
        <f t="shared" si="3"/>
        <v>1.9523297802043774E-2</v>
      </c>
      <c r="M18" s="85">
        <f t="shared" si="4"/>
        <v>16</v>
      </c>
      <c r="N18" s="86" t="str">
        <f t="shared" si="5"/>
        <v>B</v>
      </c>
      <c r="O18" s="85">
        <f>IFERROR($H18/($I18/Instrucciones!$C$14),"")</f>
        <v>380</v>
      </c>
      <c r="P18" s="86">
        <f>IFERROR(ROUND(($I18/Instrucciones!$C$14)*(Instrucciones!$C$15+Instrucciones!$C$16),0),"")</f>
        <v>2</v>
      </c>
      <c r="Q18" s="86" t="str">
        <f t="shared" si="7"/>
        <v>OK</v>
      </c>
      <c r="R18" s="88">
        <f t="shared" si="6"/>
        <v>117000</v>
      </c>
    </row>
    <row r="19" spans="1:18" ht="15" customHeight="1" x14ac:dyDescent="0.3">
      <c r="A19" s="89" t="s">
        <v>69</v>
      </c>
      <c r="B19" s="89" t="s">
        <v>70</v>
      </c>
      <c r="C19" s="89" t="s">
        <v>64</v>
      </c>
      <c r="D19" s="89" t="s">
        <v>48</v>
      </c>
      <c r="E19" s="90">
        <v>4800</v>
      </c>
      <c r="F19" s="90">
        <v>12500</v>
      </c>
      <c r="G19" s="82">
        <f t="shared" si="0"/>
        <v>0.61599999999999999</v>
      </c>
      <c r="H19" s="91">
        <v>6</v>
      </c>
      <c r="I19" s="83">
        <f>IF($A19="",0,SUMIFS(Ventas!$D$5:$D$204,Ventas!$B$5:$B$204,$A19))</f>
        <v>12</v>
      </c>
      <c r="J19" s="84">
        <f t="shared" si="1"/>
        <v>150000</v>
      </c>
      <c r="K19" s="84">
        <f t="shared" si="2"/>
        <v>92400</v>
      </c>
      <c r="L19" s="82">
        <f t="shared" si="3"/>
        <v>2.5029868976979196E-2</v>
      </c>
      <c r="M19" s="85">
        <f t="shared" si="4"/>
        <v>11</v>
      </c>
      <c r="N19" s="86" t="str">
        <f t="shared" si="5"/>
        <v>B</v>
      </c>
      <c r="O19" s="85">
        <f>IFERROR($H19/($I19/Instrucciones!$C$14),"")</f>
        <v>15</v>
      </c>
      <c r="P19" s="86">
        <f>IFERROR(ROUND(($I19/Instrucciones!$C$14)*(Instrucciones!$C$15+Instrucciones!$C$16),0),"")</f>
        <v>9</v>
      </c>
      <c r="Q19" s="86" t="str">
        <f t="shared" si="7"/>
        <v>COMPRAR</v>
      </c>
      <c r="R19" s="88">
        <f t="shared" si="6"/>
        <v>150000</v>
      </c>
    </row>
    <row r="20" spans="1:18" ht="15" customHeight="1" x14ac:dyDescent="0.3">
      <c r="A20" s="89" t="s">
        <v>71</v>
      </c>
      <c r="B20" s="89" t="s">
        <v>72</v>
      </c>
      <c r="C20" s="89" t="s">
        <v>64</v>
      </c>
      <c r="D20" s="89" t="s">
        <v>36</v>
      </c>
      <c r="E20" s="90">
        <v>9200</v>
      </c>
      <c r="F20" s="90">
        <v>23000</v>
      </c>
      <c r="G20" s="82">
        <f t="shared" si="0"/>
        <v>0.6</v>
      </c>
      <c r="H20" s="91">
        <v>34</v>
      </c>
      <c r="I20" s="83">
        <f>IF($A20="",0,SUMIFS(Ventas!$D$5:$D$204,Ventas!$B$5:$B$204,$A20))</f>
        <v>2</v>
      </c>
      <c r="J20" s="84">
        <f t="shared" si="1"/>
        <v>46000</v>
      </c>
      <c r="K20" s="84">
        <f t="shared" si="2"/>
        <v>27600</v>
      </c>
      <c r="L20" s="82">
        <f t="shared" si="3"/>
        <v>7.6758264862736196E-3</v>
      </c>
      <c r="M20" s="85">
        <f t="shared" si="4"/>
        <v>32</v>
      </c>
      <c r="N20" s="86" t="str">
        <f t="shared" si="5"/>
        <v>C</v>
      </c>
      <c r="O20" s="85">
        <f>IFERROR($H20/($I20/Instrucciones!$C$14),"")</f>
        <v>510</v>
      </c>
      <c r="P20" s="86">
        <f>IFERROR(ROUND(($I20/Instrucciones!$C$14)*(Instrucciones!$C$15+Instrucciones!$C$16),0),"")</f>
        <v>1</v>
      </c>
      <c r="Q20" s="86" t="str">
        <f t="shared" si="7"/>
        <v>OK</v>
      </c>
      <c r="R20" s="88">
        <f t="shared" si="6"/>
        <v>46000</v>
      </c>
    </row>
    <row r="21" spans="1:18" ht="15" customHeight="1" x14ac:dyDescent="0.3">
      <c r="A21" s="89" t="s">
        <v>73</v>
      </c>
      <c r="B21" s="89" t="s">
        <v>74</v>
      </c>
      <c r="C21" s="89" t="s">
        <v>64</v>
      </c>
      <c r="D21" s="89" t="s">
        <v>39</v>
      </c>
      <c r="E21" s="90">
        <v>900</v>
      </c>
      <c r="F21" s="90">
        <v>2500</v>
      </c>
      <c r="G21" s="82">
        <f t="shared" si="0"/>
        <v>0.64</v>
      </c>
      <c r="H21" s="91">
        <v>220</v>
      </c>
      <c r="I21" s="83">
        <f>IF($A21="",0,SUMIFS(Ventas!$D$5:$D$204,Ventas!$B$5:$B$204,$A21))</f>
        <v>65</v>
      </c>
      <c r="J21" s="84">
        <f t="shared" si="1"/>
        <v>162500</v>
      </c>
      <c r="K21" s="84">
        <f t="shared" si="2"/>
        <v>104000</v>
      </c>
      <c r="L21" s="82">
        <f t="shared" si="3"/>
        <v>2.711569139172746E-2</v>
      </c>
      <c r="M21" s="85">
        <f t="shared" si="4"/>
        <v>9</v>
      </c>
      <c r="N21" s="86" t="str">
        <f t="shared" si="5"/>
        <v>A</v>
      </c>
      <c r="O21" s="85">
        <f>IFERROR($H21/($I21/Instrucciones!$C$14),"")</f>
        <v>101.53846153846155</v>
      </c>
      <c r="P21" s="86">
        <f>IFERROR(ROUND(($I21/Instrucciones!$C$14)*(Instrucciones!$C$15+Instrucciones!$C$16),0),"")</f>
        <v>48</v>
      </c>
      <c r="Q21" s="86" t="str">
        <f t="shared" si="7"/>
        <v>OK</v>
      </c>
      <c r="R21" s="88">
        <f t="shared" si="6"/>
        <v>162500</v>
      </c>
    </row>
    <row r="22" spans="1:18" ht="15" customHeight="1" x14ac:dyDescent="0.3">
      <c r="A22" s="89" t="s">
        <v>75</v>
      </c>
      <c r="B22" s="89" t="s">
        <v>76</v>
      </c>
      <c r="C22" s="89" t="s">
        <v>64</v>
      </c>
      <c r="D22" s="89" t="s">
        <v>42</v>
      </c>
      <c r="E22" s="90">
        <v>7400</v>
      </c>
      <c r="F22" s="90">
        <v>16800</v>
      </c>
      <c r="G22" s="82">
        <f t="shared" si="0"/>
        <v>0.55952380952380953</v>
      </c>
      <c r="H22" s="91">
        <v>40</v>
      </c>
      <c r="I22" s="83">
        <f>IF($A22="",0,SUMIFS(Ventas!$D$5:$D$204,Ventas!$B$5:$B$204,$A22))</f>
        <v>6</v>
      </c>
      <c r="J22" s="84">
        <f t="shared" si="1"/>
        <v>100800</v>
      </c>
      <c r="K22" s="84">
        <f t="shared" si="2"/>
        <v>56400</v>
      </c>
      <c r="L22" s="82">
        <f t="shared" si="3"/>
        <v>1.6820071952530019E-2</v>
      </c>
      <c r="M22" s="85">
        <f t="shared" si="4"/>
        <v>18</v>
      </c>
      <c r="N22" s="86" t="str">
        <f t="shared" si="5"/>
        <v>B</v>
      </c>
      <c r="O22" s="85">
        <f>IFERROR($H22/($I22/Instrucciones!$C$14),"")</f>
        <v>200</v>
      </c>
      <c r="P22" s="86">
        <f>IFERROR(ROUND(($I22/Instrucciones!$C$14)*(Instrucciones!$C$15+Instrucciones!$C$16),0),"")</f>
        <v>4</v>
      </c>
      <c r="Q22" s="86" t="str">
        <f t="shared" si="7"/>
        <v>OK</v>
      </c>
      <c r="R22" s="88">
        <f t="shared" si="6"/>
        <v>100800</v>
      </c>
    </row>
    <row r="23" spans="1:18" ht="15" customHeight="1" x14ac:dyDescent="0.3">
      <c r="A23" s="89" t="s">
        <v>77</v>
      </c>
      <c r="B23" s="89" t="s">
        <v>78</v>
      </c>
      <c r="C23" s="89" t="s">
        <v>79</v>
      </c>
      <c r="D23" s="89" t="s">
        <v>45</v>
      </c>
      <c r="E23" s="90">
        <v>2400</v>
      </c>
      <c r="F23" s="90">
        <v>5900</v>
      </c>
      <c r="G23" s="82">
        <f t="shared" si="0"/>
        <v>0.59322033898305082</v>
      </c>
      <c r="H23" s="91">
        <v>65</v>
      </c>
      <c r="I23" s="83">
        <f>IF($A23="",0,SUMIFS(Ventas!$D$5:$D$204,Ventas!$B$5:$B$204,$A23))</f>
        <v>143</v>
      </c>
      <c r="J23" s="84">
        <f t="shared" si="1"/>
        <v>843700</v>
      </c>
      <c r="K23" s="84">
        <f t="shared" si="2"/>
        <v>500500</v>
      </c>
      <c r="L23" s="82">
        <f t="shared" si="3"/>
        <v>0.14078466970584899</v>
      </c>
      <c r="M23" s="85">
        <f t="shared" si="4"/>
        <v>1</v>
      </c>
      <c r="N23" s="86" t="str">
        <f t="shared" si="5"/>
        <v>A</v>
      </c>
      <c r="O23" s="85">
        <f>IFERROR($H23/($I23/Instrucciones!$C$14),"")</f>
        <v>13.636363636363637</v>
      </c>
      <c r="P23" s="86">
        <f>IFERROR(ROUND(($I23/Instrucciones!$C$14)*(Instrucciones!$C$15+Instrucciones!$C$16),0),"")</f>
        <v>105</v>
      </c>
      <c r="Q23" s="86" t="str">
        <f t="shared" si="7"/>
        <v>COMPRAR</v>
      </c>
      <c r="R23" s="88">
        <f t="shared" si="6"/>
        <v>843700</v>
      </c>
    </row>
    <row r="24" spans="1:18" ht="15" customHeight="1" x14ac:dyDescent="0.3">
      <c r="A24" s="89" t="s">
        <v>80</v>
      </c>
      <c r="B24" s="89" t="s">
        <v>81</v>
      </c>
      <c r="C24" s="89" t="s">
        <v>79</v>
      </c>
      <c r="D24" s="89" t="s">
        <v>48</v>
      </c>
      <c r="E24" s="90">
        <v>4200</v>
      </c>
      <c r="F24" s="90">
        <v>11500</v>
      </c>
      <c r="G24" s="82">
        <f t="shared" si="0"/>
        <v>0.63478260869565217</v>
      </c>
      <c r="H24" s="91">
        <v>62</v>
      </c>
      <c r="I24" s="83">
        <f>IF($A24="",0,SUMIFS(Ventas!$D$5:$D$204,Ventas!$B$5:$B$204,$A24))</f>
        <v>0</v>
      </c>
      <c r="J24" s="84">
        <f t="shared" si="1"/>
        <v>0</v>
      </c>
      <c r="K24" s="84">
        <f t="shared" si="2"/>
        <v>0</v>
      </c>
      <c r="L24" s="82">
        <f t="shared" si="3"/>
        <v>0</v>
      </c>
      <c r="M24" s="85">
        <f t="shared" si="4"/>
        <v>38</v>
      </c>
      <c r="N24" s="86" t="str">
        <f t="shared" si="5"/>
        <v>C</v>
      </c>
      <c r="O24" s="85" t="str">
        <f>IFERROR($H24/($I24/Instrucciones!$C$14),"")</f>
        <v/>
      </c>
      <c r="P24" s="86">
        <f>IFERROR(ROUND(($I24/Instrucciones!$C$14)*(Instrucciones!$C$15+Instrucciones!$C$16),0),"")</f>
        <v>0</v>
      </c>
      <c r="Q24" s="86" t="str">
        <f t="shared" si="7"/>
        <v>SIN ROTACIÓN</v>
      </c>
      <c r="R24" s="88">
        <f t="shared" si="6"/>
        <v>0</v>
      </c>
    </row>
    <row r="25" spans="1:18" ht="15" customHeight="1" x14ac:dyDescent="0.3">
      <c r="A25" s="89" t="s">
        <v>82</v>
      </c>
      <c r="B25" s="89" t="s">
        <v>83</v>
      </c>
      <c r="C25" s="89" t="s">
        <v>79</v>
      </c>
      <c r="D25" s="89" t="s">
        <v>36</v>
      </c>
      <c r="E25" s="90">
        <v>5600</v>
      </c>
      <c r="F25" s="90">
        <v>14900</v>
      </c>
      <c r="G25" s="82">
        <f t="shared" si="0"/>
        <v>0.62416107382550334</v>
      </c>
      <c r="H25" s="91">
        <v>58</v>
      </c>
      <c r="I25" s="83">
        <f>IF($A25="",0,SUMIFS(Ventas!$D$5:$D$204,Ventas!$B$5:$B$204,$A25))</f>
        <v>8</v>
      </c>
      <c r="J25" s="84">
        <f t="shared" si="1"/>
        <v>119200</v>
      </c>
      <c r="K25" s="84">
        <f t="shared" si="2"/>
        <v>74400</v>
      </c>
      <c r="L25" s="82">
        <f t="shared" si="3"/>
        <v>1.9890402547039467E-2</v>
      </c>
      <c r="M25" s="85">
        <f t="shared" si="4"/>
        <v>15</v>
      </c>
      <c r="N25" s="86" t="str">
        <f t="shared" si="5"/>
        <v>B</v>
      </c>
      <c r="O25" s="85">
        <f>IFERROR($H25/($I25/Instrucciones!$C$14),"")</f>
        <v>217.5</v>
      </c>
      <c r="P25" s="86">
        <f>IFERROR(ROUND(($I25/Instrucciones!$C$14)*(Instrucciones!$C$15+Instrucciones!$C$16),0),"")</f>
        <v>6</v>
      </c>
      <c r="Q25" s="86" t="str">
        <f t="shared" si="7"/>
        <v>OK</v>
      </c>
      <c r="R25" s="88">
        <f t="shared" si="6"/>
        <v>119200</v>
      </c>
    </row>
    <row r="26" spans="1:18" ht="15" customHeight="1" x14ac:dyDescent="0.3">
      <c r="A26" s="89" t="s">
        <v>84</v>
      </c>
      <c r="B26" s="89" t="s">
        <v>85</v>
      </c>
      <c r="C26" s="89" t="s">
        <v>79</v>
      </c>
      <c r="D26" s="89" t="s">
        <v>39</v>
      </c>
      <c r="E26" s="90">
        <v>4900</v>
      </c>
      <c r="F26" s="90">
        <v>12900</v>
      </c>
      <c r="G26" s="82">
        <f t="shared" si="0"/>
        <v>0.62015503875968991</v>
      </c>
      <c r="H26" s="91">
        <v>23</v>
      </c>
      <c r="I26" s="83">
        <f>IF($A26="",0,SUMIFS(Ventas!$D$5:$D$204,Ventas!$B$5:$B$204,$A26))</f>
        <v>42</v>
      </c>
      <c r="J26" s="84">
        <f t="shared" si="1"/>
        <v>541800</v>
      </c>
      <c r="K26" s="84">
        <f t="shared" si="2"/>
        <v>336000</v>
      </c>
      <c r="L26" s="82">
        <f t="shared" si="3"/>
        <v>9.0407886744848856E-2</v>
      </c>
      <c r="M26" s="85">
        <f t="shared" si="4"/>
        <v>3</v>
      </c>
      <c r="N26" s="86" t="str">
        <f t="shared" si="5"/>
        <v>A</v>
      </c>
      <c r="O26" s="85">
        <f>IFERROR($H26/($I26/Instrucciones!$C$14),"")</f>
        <v>16.428571428571431</v>
      </c>
      <c r="P26" s="86">
        <f>IFERROR(ROUND(($I26/Instrucciones!$C$14)*(Instrucciones!$C$15+Instrucciones!$C$16),0),"")</f>
        <v>31</v>
      </c>
      <c r="Q26" s="86" t="str">
        <f t="shared" si="7"/>
        <v>COMPRAR</v>
      </c>
      <c r="R26" s="88">
        <f t="shared" si="6"/>
        <v>541800</v>
      </c>
    </row>
    <row r="27" spans="1:18" ht="15" customHeight="1" x14ac:dyDescent="0.3">
      <c r="A27" s="89" t="s">
        <v>86</v>
      </c>
      <c r="B27" s="89" t="s">
        <v>87</v>
      </c>
      <c r="C27" s="89" t="s">
        <v>79</v>
      </c>
      <c r="D27" s="89" t="s">
        <v>42</v>
      </c>
      <c r="E27" s="90">
        <v>2600</v>
      </c>
      <c r="F27" s="90">
        <v>6900</v>
      </c>
      <c r="G27" s="82">
        <f t="shared" si="0"/>
        <v>0.62318840579710144</v>
      </c>
      <c r="H27" s="91">
        <v>96</v>
      </c>
      <c r="I27" s="83">
        <f>IF($A27="",0,SUMIFS(Ventas!$D$5:$D$204,Ventas!$B$5:$B$204,$A27))</f>
        <v>7</v>
      </c>
      <c r="J27" s="84">
        <f t="shared" si="1"/>
        <v>48300</v>
      </c>
      <c r="K27" s="84">
        <f t="shared" si="2"/>
        <v>30100</v>
      </c>
      <c r="L27" s="82">
        <f t="shared" si="3"/>
        <v>8.0596178105873002E-3</v>
      </c>
      <c r="M27" s="85">
        <f t="shared" si="4"/>
        <v>30</v>
      </c>
      <c r="N27" s="86" t="str">
        <f t="shared" si="5"/>
        <v>C</v>
      </c>
      <c r="O27" s="85">
        <f>IFERROR($H27/($I27/Instrucciones!$C$14),"")</f>
        <v>411.42857142857144</v>
      </c>
      <c r="P27" s="86">
        <f>IFERROR(ROUND(($I27/Instrucciones!$C$14)*(Instrucciones!$C$15+Instrucciones!$C$16),0),"")</f>
        <v>5</v>
      </c>
      <c r="Q27" s="86" t="str">
        <f t="shared" si="7"/>
        <v>OK</v>
      </c>
      <c r="R27" s="88">
        <f t="shared" si="6"/>
        <v>48300</v>
      </c>
    </row>
    <row r="28" spans="1:18" ht="15" customHeight="1" x14ac:dyDescent="0.3">
      <c r="A28" s="89" t="s">
        <v>88</v>
      </c>
      <c r="B28" s="89" t="s">
        <v>89</v>
      </c>
      <c r="C28" s="89" t="s">
        <v>79</v>
      </c>
      <c r="D28" s="89" t="s">
        <v>45</v>
      </c>
      <c r="E28" s="90">
        <v>11500</v>
      </c>
      <c r="F28" s="90">
        <v>27000</v>
      </c>
      <c r="G28" s="82">
        <f t="shared" si="0"/>
        <v>0.57407407407407407</v>
      </c>
      <c r="H28" s="91">
        <v>24</v>
      </c>
      <c r="I28" s="83">
        <f>IF($A28="",0,SUMIFS(Ventas!$D$5:$D$204,Ventas!$B$5:$B$204,$A28))</f>
        <v>0</v>
      </c>
      <c r="J28" s="84">
        <f t="shared" si="1"/>
        <v>0</v>
      </c>
      <c r="K28" s="84">
        <f t="shared" si="2"/>
        <v>0</v>
      </c>
      <c r="L28" s="82">
        <f t="shared" si="3"/>
        <v>0</v>
      </c>
      <c r="M28" s="85">
        <f t="shared" si="4"/>
        <v>38</v>
      </c>
      <c r="N28" s="86" t="str">
        <f t="shared" si="5"/>
        <v>C</v>
      </c>
      <c r="O28" s="85" t="str">
        <f>IFERROR($H28/($I28/Instrucciones!$C$14),"")</f>
        <v/>
      </c>
      <c r="P28" s="86">
        <f>IFERROR(ROUND(($I28/Instrucciones!$C$14)*(Instrucciones!$C$15+Instrucciones!$C$16),0),"")</f>
        <v>0</v>
      </c>
      <c r="Q28" s="86" t="str">
        <f t="shared" si="7"/>
        <v>SIN ROTACIÓN</v>
      </c>
      <c r="R28" s="88">
        <f t="shared" si="6"/>
        <v>0</v>
      </c>
    </row>
    <row r="29" spans="1:18" ht="15" customHeight="1" x14ac:dyDescent="0.3">
      <c r="A29" s="89" t="s">
        <v>90</v>
      </c>
      <c r="B29" s="89" t="s">
        <v>91</v>
      </c>
      <c r="C29" s="89" t="s">
        <v>92</v>
      </c>
      <c r="D29" s="89" t="s">
        <v>48</v>
      </c>
      <c r="E29" s="90">
        <v>6800</v>
      </c>
      <c r="F29" s="90">
        <v>16500</v>
      </c>
      <c r="G29" s="82">
        <f t="shared" si="0"/>
        <v>0.58787878787878789</v>
      </c>
      <c r="H29" s="91">
        <v>54</v>
      </c>
      <c r="I29" s="83">
        <f>IF($A29="",0,SUMIFS(Ventas!$D$5:$D$204,Ventas!$B$5:$B$204,$A29))</f>
        <v>4</v>
      </c>
      <c r="J29" s="84">
        <f t="shared" si="1"/>
        <v>66000</v>
      </c>
      <c r="K29" s="84">
        <f t="shared" si="2"/>
        <v>38800</v>
      </c>
      <c r="L29" s="82">
        <f t="shared" si="3"/>
        <v>1.1013142349870846E-2</v>
      </c>
      <c r="M29" s="85">
        <f t="shared" si="4"/>
        <v>25</v>
      </c>
      <c r="N29" s="86" t="str">
        <f t="shared" si="5"/>
        <v>C</v>
      </c>
      <c r="O29" s="85">
        <f>IFERROR($H29/($I29/Instrucciones!$C$14),"")</f>
        <v>405</v>
      </c>
      <c r="P29" s="86">
        <f>IFERROR(ROUND(($I29/Instrucciones!$C$14)*(Instrucciones!$C$15+Instrucciones!$C$16),0),"")</f>
        <v>3</v>
      </c>
      <c r="Q29" s="86" t="str">
        <f t="shared" si="7"/>
        <v>OK</v>
      </c>
      <c r="R29" s="88">
        <f t="shared" si="6"/>
        <v>66000</v>
      </c>
    </row>
    <row r="30" spans="1:18" ht="15" customHeight="1" x14ac:dyDescent="0.3">
      <c r="A30" s="89" t="s">
        <v>93</v>
      </c>
      <c r="B30" s="89" t="s">
        <v>94</v>
      </c>
      <c r="C30" s="89" t="s">
        <v>92</v>
      </c>
      <c r="D30" s="89" t="s">
        <v>36</v>
      </c>
      <c r="E30" s="90">
        <v>800</v>
      </c>
      <c r="F30" s="90">
        <v>2400</v>
      </c>
      <c r="G30" s="82">
        <f t="shared" si="0"/>
        <v>0.66666666666666663</v>
      </c>
      <c r="H30" s="91">
        <v>24</v>
      </c>
      <c r="I30" s="83">
        <f>IF($A30="",0,SUMIFS(Ventas!$D$5:$D$204,Ventas!$B$5:$B$204,$A30))</f>
        <v>31</v>
      </c>
      <c r="J30" s="84">
        <f t="shared" si="1"/>
        <v>74400</v>
      </c>
      <c r="K30" s="84">
        <f t="shared" si="2"/>
        <v>49600</v>
      </c>
      <c r="L30" s="82">
        <f t="shared" si="3"/>
        <v>1.2414815012581681E-2</v>
      </c>
      <c r="M30" s="85">
        <f t="shared" si="4"/>
        <v>20</v>
      </c>
      <c r="N30" s="86" t="str">
        <f t="shared" si="5"/>
        <v>B</v>
      </c>
      <c r="O30" s="85">
        <f>IFERROR($H30/($I30/Instrucciones!$C$14),"")</f>
        <v>23.2258064516129</v>
      </c>
      <c r="P30" s="86">
        <f>IFERROR(ROUND(($I30/Instrucciones!$C$14)*(Instrucciones!$C$15+Instrucciones!$C$16),0),"")</f>
        <v>23</v>
      </c>
      <c r="Q30" s="86" t="str">
        <f t="shared" si="7"/>
        <v>OK</v>
      </c>
      <c r="R30" s="88">
        <f t="shared" si="6"/>
        <v>74400</v>
      </c>
    </row>
    <row r="31" spans="1:18" ht="15" customHeight="1" x14ac:dyDescent="0.3">
      <c r="A31" s="89" t="s">
        <v>95</v>
      </c>
      <c r="B31" s="89" t="s">
        <v>96</v>
      </c>
      <c r="C31" s="89" t="s">
        <v>92</v>
      </c>
      <c r="D31" s="89" t="s">
        <v>39</v>
      </c>
      <c r="E31" s="90">
        <v>900</v>
      </c>
      <c r="F31" s="90">
        <v>2600</v>
      </c>
      <c r="G31" s="82">
        <f t="shared" si="0"/>
        <v>0.65384615384615385</v>
      </c>
      <c r="H31" s="91">
        <v>160</v>
      </c>
      <c r="I31" s="83">
        <f>IF($A31="",0,SUMIFS(Ventas!$D$5:$D$204,Ventas!$B$5:$B$204,$A31))</f>
        <v>25</v>
      </c>
      <c r="J31" s="84">
        <f t="shared" si="1"/>
        <v>65000</v>
      </c>
      <c r="K31" s="84">
        <f t="shared" si="2"/>
        <v>42500</v>
      </c>
      <c r="L31" s="82">
        <f t="shared" si="3"/>
        <v>1.0846276556690985E-2</v>
      </c>
      <c r="M31" s="85">
        <f t="shared" si="4"/>
        <v>26</v>
      </c>
      <c r="N31" s="86" t="str">
        <f t="shared" si="5"/>
        <v>C</v>
      </c>
      <c r="O31" s="85">
        <f>IFERROR($H31/($I31/Instrucciones!$C$14),"")</f>
        <v>192</v>
      </c>
      <c r="P31" s="86">
        <f>IFERROR(ROUND(($I31/Instrucciones!$C$14)*(Instrucciones!$C$15+Instrucciones!$C$16),0),"")</f>
        <v>18</v>
      </c>
      <c r="Q31" s="86" t="str">
        <f t="shared" si="7"/>
        <v>OK</v>
      </c>
      <c r="R31" s="88">
        <f t="shared" si="6"/>
        <v>65000</v>
      </c>
    </row>
    <row r="32" spans="1:18" ht="15" customHeight="1" x14ac:dyDescent="0.3">
      <c r="A32" s="89" t="s">
        <v>97</v>
      </c>
      <c r="B32" s="89" t="s">
        <v>98</v>
      </c>
      <c r="C32" s="89" t="s">
        <v>92</v>
      </c>
      <c r="D32" s="89" t="s">
        <v>42</v>
      </c>
      <c r="E32" s="90">
        <v>12500</v>
      </c>
      <c r="F32" s="90">
        <v>29000</v>
      </c>
      <c r="G32" s="82">
        <f t="shared" si="0"/>
        <v>0.56896551724137934</v>
      </c>
      <c r="H32" s="91">
        <v>16</v>
      </c>
      <c r="I32" s="83">
        <f>IF($A32="",0,SUMIFS(Ventas!$D$5:$D$204,Ventas!$B$5:$B$204,$A32))</f>
        <v>0</v>
      </c>
      <c r="J32" s="84">
        <f t="shared" si="1"/>
        <v>0</v>
      </c>
      <c r="K32" s="84">
        <f t="shared" si="2"/>
        <v>0</v>
      </c>
      <c r="L32" s="82">
        <f t="shared" si="3"/>
        <v>0</v>
      </c>
      <c r="M32" s="85">
        <f t="shared" si="4"/>
        <v>38</v>
      </c>
      <c r="N32" s="86" t="str">
        <f t="shared" si="5"/>
        <v>C</v>
      </c>
      <c r="O32" s="85" t="str">
        <f>IFERROR($H32/($I32/Instrucciones!$C$14),"")</f>
        <v/>
      </c>
      <c r="P32" s="86">
        <f>IFERROR(ROUND(($I32/Instrucciones!$C$14)*(Instrucciones!$C$15+Instrucciones!$C$16),0),"")</f>
        <v>0</v>
      </c>
      <c r="Q32" s="86" t="str">
        <f t="shared" si="7"/>
        <v>SIN ROTACIÓN</v>
      </c>
      <c r="R32" s="88">
        <f t="shared" si="6"/>
        <v>0</v>
      </c>
    </row>
    <row r="33" spans="1:18" ht="15" customHeight="1" x14ac:dyDescent="0.3">
      <c r="A33" s="89" t="s">
        <v>99</v>
      </c>
      <c r="B33" s="89" t="s">
        <v>100</v>
      </c>
      <c r="C33" s="89" t="s">
        <v>92</v>
      </c>
      <c r="D33" s="89" t="s">
        <v>45</v>
      </c>
      <c r="E33" s="90">
        <v>22000</v>
      </c>
      <c r="F33" s="90">
        <v>52000</v>
      </c>
      <c r="G33" s="82">
        <f t="shared" si="0"/>
        <v>0.57692307692307687</v>
      </c>
      <c r="H33" s="91">
        <v>12</v>
      </c>
      <c r="I33" s="83">
        <f>IF($A33="",0,SUMIFS(Ventas!$D$5:$D$204,Ventas!$B$5:$B$204,$A33))</f>
        <v>0</v>
      </c>
      <c r="J33" s="84">
        <f t="shared" si="1"/>
        <v>0</v>
      </c>
      <c r="K33" s="84">
        <f t="shared" si="2"/>
        <v>0</v>
      </c>
      <c r="L33" s="82">
        <f t="shared" si="3"/>
        <v>0</v>
      </c>
      <c r="M33" s="85">
        <f t="shared" si="4"/>
        <v>38</v>
      </c>
      <c r="N33" s="86" t="str">
        <f t="shared" si="5"/>
        <v>C</v>
      </c>
      <c r="O33" s="85" t="str">
        <f>IFERROR($H33/($I33/Instrucciones!$C$14),"")</f>
        <v/>
      </c>
      <c r="P33" s="86">
        <f>IFERROR(ROUND(($I33/Instrucciones!$C$14)*(Instrucciones!$C$15+Instrucciones!$C$16),0),"")</f>
        <v>0</v>
      </c>
      <c r="Q33" s="86" t="str">
        <f t="shared" si="7"/>
        <v>SIN ROTACIÓN</v>
      </c>
      <c r="R33" s="88">
        <f t="shared" si="6"/>
        <v>0</v>
      </c>
    </row>
    <row r="34" spans="1:18" ht="15" customHeight="1" x14ac:dyDescent="0.3">
      <c r="A34" s="89" t="s">
        <v>101</v>
      </c>
      <c r="B34" s="89" t="s">
        <v>102</v>
      </c>
      <c r="C34" s="89" t="s">
        <v>103</v>
      </c>
      <c r="D34" s="89" t="s">
        <v>48</v>
      </c>
      <c r="E34" s="90">
        <v>13800</v>
      </c>
      <c r="F34" s="90">
        <v>22900</v>
      </c>
      <c r="G34" s="82">
        <f t="shared" si="0"/>
        <v>0.39737991266375544</v>
      </c>
      <c r="H34" s="91">
        <v>140</v>
      </c>
      <c r="I34" s="83">
        <f>IF($A34="",0,SUMIFS(Ventas!$D$5:$D$204,Ventas!$B$5:$B$204,$A34))</f>
        <v>28</v>
      </c>
      <c r="J34" s="84">
        <f t="shared" si="1"/>
        <v>641200</v>
      </c>
      <c r="K34" s="84">
        <f t="shared" si="2"/>
        <v>254800</v>
      </c>
      <c r="L34" s="82">
        <f t="shared" si="3"/>
        <v>0.10699434658692707</v>
      </c>
      <c r="M34" s="85">
        <f t="shared" si="4"/>
        <v>2</v>
      </c>
      <c r="N34" s="86" t="str">
        <f t="shared" si="5"/>
        <v>A</v>
      </c>
      <c r="O34" s="85">
        <f>IFERROR($H34/($I34/Instrucciones!$C$14),"")</f>
        <v>150</v>
      </c>
      <c r="P34" s="86">
        <f>IFERROR(ROUND(($I34/Instrucciones!$C$14)*(Instrucciones!$C$15+Instrucciones!$C$16),0),"")</f>
        <v>21</v>
      </c>
      <c r="Q34" s="86" t="str">
        <f t="shared" si="7"/>
        <v>OK</v>
      </c>
      <c r="R34" s="88">
        <f t="shared" si="6"/>
        <v>641200</v>
      </c>
    </row>
    <row r="35" spans="1:18" ht="15" customHeight="1" x14ac:dyDescent="0.3">
      <c r="A35" s="89" t="s">
        <v>104</v>
      </c>
      <c r="B35" s="89" t="s">
        <v>105</v>
      </c>
      <c r="C35" s="89" t="s">
        <v>103</v>
      </c>
      <c r="D35" s="89" t="s">
        <v>36</v>
      </c>
      <c r="E35" s="90">
        <v>15200</v>
      </c>
      <c r="F35" s="90">
        <v>25900</v>
      </c>
      <c r="G35" s="82">
        <f t="shared" si="0"/>
        <v>0.41312741312741313</v>
      </c>
      <c r="H35" s="91">
        <v>60</v>
      </c>
      <c r="I35" s="83">
        <f>IF($A35="",0,SUMIFS(Ventas!$D$5:$D$204,Ventas!$B$5:$B$204,$A35))</f>
        <v>4</v>
      </c>
      <c r="J35" s="84">
        <f t="shared" si="1"/>
        <v>103600</v>
      </c>
      <c r="K35" s="84">
        <f t="shared" si="2"/>
        <v>42800</v>
      </c>
      <c r="L35" s="82">
        <f t="shared" si="3"/>
        <v>1.7287296173433629E-2</v>
      </c>
      <c r="M35" s="85">
        <f t="shared" si="4"/>
        <v>17</v>
      </c>
      <c r="N35" s="86" t="str">
        <f t="shared" si="5"/>
        <v>B</v>
      </c>
      <c r="O35" s="85">
        <f>IFERROR($H35/($I35/Instrucciones!$C$14),"")</f>
        <v>450</v>
      </c>
      <c r="P35" s="86">
        <f>IFERROR(ROUND(($I35/Instrucciones!$C$14)*(Instrucciones!$C$15+Instrucciones!$C$16),0),"")</f>
        <v>3</v>
      </c>
      <c r="Q35" s="86" t="str">
        <f t="shared" si="7"/>
        <v>OK</v>
      </c>
      <c r="R35" s="88">
        <f t="shared" si="6"/>
        <v>103600</v>
      </c>
    </row>
    <row r="36" spans="1:18" ht="15" customHeight="1" x14ac:dyDescent="0.3">
      <c r="A36" s="89" t="s">
        <v>106</v>
      </c>
      <c r="B36" s="89" t="s">
        <v>107</v>
      </c>
      <c r="C36" s="89" t="s">
        <v>103</v>
      </c>
      <c r="D36" s="89" t="s">
        <v>39</v>
      </c>
      <c r="E36" s="90">
        <v>2800</v>
      </c>
      <c r="F36" s="90">
        <v>6500</v>
      </c>
      <c r="G36" s="82">
        <f t="shared" si="0"/>
        <v>0.56923076923076921</v>
      </c>
      <c r="H36" s="91">
        <v>180</v>
      </c>
      <c r="I36" s="83">
        <f>IF($A36="",0,SUMIFS(Ventas!$D$5:$D$204,Ventas!$B$5:$B$204,$A36))</f>
        <v>7</v>
      </c>
      <c r="J36" s="84">
        <f t="shared" si="1"/>
        <v>45500</v>
      </c>
      <c r="K36" s="84">
        <f t="shared" si="2"/>
        <v>25900</v>
      </c>
      <c r="L36" s="82">
        <f t="shared" si="3"/>
        <v>7.5923935896836893E-3</v>
      </c>
      <c r="M36" s="85">
        <f t="shared" si="4"/>
        <v>33</v>
      </c>
      <c r="N36" s="86" t="str">
        <f t="shared" si="5"/>
        <v>C</v>
      </c>
      <c r="O36" s="85">
        <f>IFERROR($H36/($I36/Instrucciones!$C$14),"")</f>
        <v>771.42857142857144</v>
      </c>
      <c r="P36" s="86">
        <f>IFERROR(ROUND(($I36/Instrucciones!$C$14)*(Instrucciones!$C$15+Instrucciones!$C$16),0),"")</f>
        <v>5</v>
      </c>
      <c r="Q36" s="86" t="str">
        <f t="shared" si="7"/>
        <v>OK</v>
      </c>
      <c r="R36" s="88">
        <f t="shared" si="6"/>
        <v>45500</v>
      </c>
    </row>
    <row r="37" spans="1:18" ht="15" customHeight="1" x14ac:dyDescent="0.3">
      <c r="A37" s="89" t="s">
        <v>108</v>
      </c>
      <c r="B37" s="89" t="s">
        <v>109</v>
      </c>
      <c r="C37" s="89" t="s">
        <v>103</v>
      </c>
      <c r="D37" s="89" t="s">
        <v>42</v>
      </c>
      <c r="E37" s="90">
        <v>600</v>
      </c>
      <c r="F37" s="90">
        <v>1800</v>
      </c>
      <c r="G37" s="82">
        <f t="shared" ref="G37:G104" si="8">IFERROR(($F37-$E37)/$F37,"")</f>
        <v>0.66666666666666663</v>
      </c>
      <c r="H37" s="91">
        <v>122</v>
      </c>
      <c r="I37" s="83">
        <f>IF($A37="",0,SUMIFS(Ventas!$D$5:$D$204,Ventas!$B$5:$B$204,$A37))</f>
        <v>116</v>
      </c>
      <c r="J37" s="84">
        <f t="shared" ref="J37:J104" si="9">IF($A37="",0,$I37*$F37)</f>
        <v>208800</v>
      </c>
      <c r="K37" s="84">
        <f t="shared" ref="K37:K104" si="10">IF($A37="",0,$I37*($F37-$E37))</f>
        <v>139200</v>
      </c>
      <c r="L37" s="82">
        <f t="shared" si="3"/>
        <v>3.4841577615955042E-2</v>
      </c>
      <c r="M37" s="85">
        <f t="shared" si="4"/>
        <v>7</v>
      </c>
      <c r="N37" s="86" t="str">
        <f t="shared" si="5"/>
        <v>A</v>
      </c>
      <c r="O37" s="85">
        <f>IFERROR($H37/($I37/Instrucciones!$C$14),"")</f>
        <v>31.551724137931036</v>
      </c>
      <c r="P37" s="86">
        <f>IFERROR(ROUND(($I37/Instrucciones!$C$14)*(Instrucciones!$C$15+Instrucciones!$C$16),0),"")</f>
        <v>85</v>
      </c>
      <c r="Q37" s="86" t="str">
        <f t="shared" si="7"/>
        <v>OK</v>
      </c>
      <c r="R37" s="88">
        <f t="shared" ref="R37:R104" si="11">IF($A37="",0,$J37)</f>
        <v>208800</v>
      </c>
    </row>
    <row r="38" spans="1:18" ht="15" customHeight="1" x14ac:dyDescent="0.3">
      <c r="A38" s="89" t="s">
        <v>110</v>
      </c>
      <c r="B38" s="89" t="s">
        <v>111</v>
      </c>
      <c r="C38" s="89" t="s">
        <v>103</v>
      </c>
      <c r="D38" s="89" t="s">
        <v>45</v>
      </c>
      <c r="E38" s="90">
        <v>1900</v>
      </c>
      <c r="F38" s="90">
        <v>4900</v>
      </c>
      <c r="G38" s="82">
        <f t="shared" si="8"/>
        <v>0.61224489795918369</v>
      </c>
      <c r="H38" s="91">
        <v>110</v>
      </c>
      <c r="I38" s="83">
        <f>IF($A38="",0,SUMIFS(Ventas!$D$5:$D$204,Ventas!$B$5:$B$204,$A38))</f>
        <v>9</v>
      </c>
      <c r="J38" s="84">
        <f t="shared" si="9"/>
        <v>44100</v>
      </c>
      <c r="K38" s="84">
        <f t="shared" si="10"/>
        <v>27000</v>
      </c>
      <c r="L38" s="82">
        <f t="shared" si="3"/>
        <v>7.3587814792318833E-3</v>
      </c>
      <c r="M38" s="85">
        <f t="shared" si="4"/>
        <v>34</v>
      </c>
      <c r="N38" s="86" t="str">
        <f t="shared" si="5"/>
        <v>C</v>
      </c>
      <c r="O38" s="85">
        <f>IFERROR($H38/($I38/Instrucciones!$C$14),"")</f>
        <v>366.66666666666669</v>
      </c>
      <c r="P38" s="86">
        <f>IFERROR(ROUND(($I38/Instrucciones!$C$14)*(Instrucciones!$C$15+Instrucciones!$C$16),0),"")</f>
        <v>7</v>
      </c>
      <c r="Q38" s="86" t="str">
        <f t="shared" si="7"/>
        <v>OK</v>
      </c>
      <c r="R38" s="88">
        <f t="shared" si="11"/>
        <v>44100</v>
      </c>
    </row>
    <row r="39" spans="1:18" ht="15" customHeight="1" x14ac:dyDescent="0.3">
      <c r="A39" s="89" t="s">
        <v>112</v>
      </c>
      <c r="B39" s="89" t="s">
        <v>113</v>
      </c>
      <c r="C39" s="89" t="s">
        <v>103</v>
      </c>
      <c r="D39" s="89" t="s">
        <v>48</v>
      </c>
      <c r="E39" s="90">
        <v>700</v>
      </c>
      <c r="F39" s="90">
        <v>2200</v>
      </c>
      <c r="G39" s="82">
        <f t="shared" si="8"/>
        <v>0.68181818181818177</v>
      </c>
      <c r="H39" s="91">
        <v>53</v>
      </c>
      <c r="I39" s="83">
        <f>IF($A39="",0,SUMIFS(Ventas!$D$5:$D$204,Ventas!$B$5:$B$204,$A39))</f>
        <v>65</v>
      </c>
      <c r="J39" s="84">
        <f t="shared" si="9"/>
        <v>143000</v>
      </c>
      <c r="K39" s="84">
        <f t="shared" si="10"/>
        <v>97500</v>
      </c>
      <c r="L39" s="82">
        <f t="shared" si="3"/>
        <v>2.3861808424720167E-2</v>
      </c>
      <c r="M39" s="85">
        <f t="shared" si="4"/>
        <v>12</v>
      </c>
      <c r="N39" s="86" t="str">
        <f t="shared" si="5"/>
        <v>B</v>
      </c>
      <c r="O39" s="85">
        <f>IFERROR($H39/($I39/Instrucciones!$C$14),"")</f>
        <v>24.461538461538463</v>
      </c>
      <c r="P39" s="86">
        <f>IFERROR(ROUND(($I39/Instrucciones!$C$14)*(Instrucciones!$C$15+Instrucciones!$C$16),0),"")</f>
        <v>48</v>
      </c>
      <c r="Q39" s="86" t="str">
        <f t="shared" si="7"/>
        <v>OK</v>
      </c>
      <c r="R39" s="88">
        <f t="shared" si="11"/>
        <v>143000</v>
      </c>
    </row>
    <row r="40" spans="1:18" ht="15" customHeight="1" x14ac:dyDescent="0.3">
      <c r="A40" s="89" t="s">
        <v>114</v>
      </c>
      <c r="B40" s="89" t="s">
        <v>115</v>
      </c>
      <c r="C40" s="89" t="s">
        <v>103</v>
      </c>
      <c r="D40" s="89" t="s">
        <v>36</v>
      </c>
      <c r="E40" s="90">
        <v>2200</v>
      </c>
      <c r="F40" s="90">
        <v>5900</v>
      </c>
      <c r="G40" s="82">
        <f t="shared" si="8"/>
        <v>0.6271186440677966</v>
      </c>
      <c r="H40" s="91">
        <v>130</v>
      </c>
      <c r="I40" s="83">
        <f>IF($A40="",0,SUMIFS(Ventas!$D$5:$D$204,Ventas!$B$5:$B$204,$A40))</f>
        <v>10</v>
      </c>
      <c r="J40" s="84">
        <f t="shared" si="9"/>
        <v>59000</v>
      </c>
      <c r="K40" s="84">
        <f t="shared" si="10"/>
        <v>37000</v>
      </c>
      <c r="L40" s="82">
        <f t="shared" si="3"/>
        <v>9.8450817976118172E-3</v>
      </c>
      <c r="M40" s="85">
        <f t="shared" si="4"/>
        <v>28</v>
      </c>
      <c r="N40" s="86" t="str">
        <f t="shared" si="5"/>
        <v>C</v>
      </c>
      <c r="O40" s="85">
        <f>IFERROR($H40/($I40/Instrucciones!$C$14),"")</f>
        <v>390</v>
      </c>
      <c r="P40" s="86">
        <f>IFERROR(ROUND(($I40/Instrucciones!$C$14)*(Instrucciones!$C$15+Instrucciones!$C$16),0),"")</f>
        <v>7</v>
      </c>
      <c r="Q40" s="86" t="str">
        <f t="shared" si="7"/>
        <v>OK</v>
      </c>
      <c r="R40" s="88">
        <f t="shared" si="11"/>
        <v>59000</v>
      </c>
    </row>
    <row r="41" spans="1:18" ht="15" customHeight="1" x14ac:dyDescent="0.3">
      <c r="A41" s="89" t="s">
        <v>116</v>
      </c>
      <c r="B41" s="89" t="s">
        <v>117</v>
      </c>
      <c r="C41" s="89" t="s">
        <v>103</v>
      </c>
      <c r="D41" s="89" t="s">
        <v>39</v>
      </c>
      <c r="E41" s="90">
        <v>5400</v>
      </c>
      <c r="F41" s="90">
        <v>13500</v>
      </c>
      <c r="G41" s="82">
        <f t="shared" si="8"/>
        <v>0.6</v>
      </c>
      <c r="H41" s="91">
        <v>26</v>
      </c>
      <c r="I41" s="83">
        <f>IF($A41="",0,SUMIFS(Ventas!$D$5:$D$204,Ventas!$B$5:$B$204,$A41))</f>
        <v>2</v>
      </c>
      <c r="J41" s="84">
        <f t="shared" si="9"/>
        <v>27000</v>
      </c>
      <c r="K41" s="84">
        <f t="shared" si="10"/>
        <v>16200</v>
      </c>
      <c r="L41" s="82">
        <f t="shared" si="3"/>
        <v>4.505376415856255E-3</v>
      </c>
      <c r="M41" s="85">
        <f t="shared" si="4"/>
        <v>37</v>
      </c>
      <c r="N41" s="86" t="str">
        <f t="shared" si="5"/>
        <v>C</v>
      </c>
      <c r="O41" s="85">
        <f>IFERROR($H41/($I41/Instrucciones!$C$14),"")</f>
        <v>390</v>
      </c>
      <c r="P41" s="86">
        <f>IFERROR(ROUND(($I41/Instrucciones!$C$14)*(Instrucciones!$C$15+Instrucciones!$C$16),0),"")</f>
        <v>1</v>
      </c>
      <c r="Q41" s="86" t="str">
        <f t="shared" si="7"/>
        <v>OK</v>
      </c>
      <c r="R41" s="88">
        <f t="shared" si="11"/>
        <v>27000</v>
      </c>
    </row>
    <row r="42" spans="1:18" ht="15" customHeight="1" x14ac:dyDescent="0.3">
      <c r="A42" s="89" t="s">
        <v>118</v>
      </c>
      <c r="B42" s="89" t="s">
        <v>119</v>
      </c>
      <c r="C42" s="89" t="s">
        <v>103</v>
      </c>
      <c r="D42" s="89" t="s">
        <v>42</v>
      </c>
      <c r="E42" s="90">
        <v>28000</v>
      </c>
      <c r="F42" s="90">
        <v>59000</v>
      </c>
      <c r="G42" s="82">
        <f t="shared" si="8"/>
        <v>0.52542372881355937</v>
      </c>
      <c r="H42" s="91">
        <v>10</v>
      </c>
      <c r="I42" s="83">
        <f>IF($A42="",0,SUMIFS(Ventas!$D$5:$D$204,Ventas!$B$5:$B$204,$A42))</f>
        <v>0</v>
      </c>
      <c r="J42" s="84">
        <f t="shared" si="9"/>
        <v>0</v>
      </c>
      <c r="K42" s="84">
        <f t="shared" si="10"/>
        <v>0</v>
      </c>
      <c r="L42" s="82">
        <f t="shared" si="3"/>
        <v>0</v>
      </c>
      <c r="M42" s="85">
        <f t="shared" si="4"/>
        <v>38</v>
      </c>
      <c r="N42" s="86" t="str">
        <f t="shared" si="5"/>
        <v>C</v>
      </c>
      <c r="O42" s="85" t="str">
        <f>IFERROR($H42/($I42/Instrucciones!$C$14),"")</f>
        <v/>
      </c>
      <c r="P42" s="86">
        <f>IFERROR(ROUND(($I42/Instrucciones!$C$14)*(Instrucciones!$C$15+Instrucciones!$C$16),0),"")</f>
        <v>0</v>
      </c>
      <c r="Q42" s="86" t="str">
        <f t="shared" si="7"/>
        <v>SIN ROTACIÓN</v>
      </c>
      <c r="R42" s="88">
        <f t="shared" si="11"/>
        <v>0</v>
      </c>
    </row>
    <row r="43" spans="1:18" ht="15" customHeight="1" x14ac:dyDescent="0.3">
      <c r="A43" s="89" t="s">
        <v>120</v>
      </c>
      <c r="B43" s="89" t="s">
        <v>121</v>
      </c>
      <c r="C43" s="89" t="s">
        <v>122</v>
      </c>
      <c r="D43" s="89" t="s">
        <v>45</v>
      </c>
      <c r="E43" s="90">
        <v>8200</v>
      </c>
      <c r="F43" s="90">
        <v>19500</v>
      </c>
      <c r="G43" s="82">
        <f t="shared" si="8"/>
        <v>0.57948717948717954</v>
      </c>
      <c r="H43" s="91">
        <v>30</v>
      </c>
      <c r="I43" s="83">
        <f>IF($A43="",0,SUMIFS(Ventas!$D$5:$D$204,Ventas!$B$5:$B$204,$A43))</f>
        <v>3</v>
      </c>
      <c r="J43" s="84">
        <f t="shared" si="9"/>
        <v>58500</v>
      </c>
      <c r="K43" s="84">
        <f t="shared" si="10"/>
        <v>33900</v>
      </c>
      <c r="L43" s="82">
        <f t="shared" si="3"/>
        <v>9.7616489010218868E-3</v>
      </c>
      <c r="M43" s="85">
        <f t="shared" si="4"/>
        <v>29</v>
      </c>
      <c r="N43" s="86" t="str">
        <f t="shared" si="5"/>
        <v>C</v>
      </c>
      <c r="O43" s="85">
        <f>IFERROR($H43/($I43/Instrucciones!$C$14),"")</f>
        <v>300</v>
      </c>
      <c r="P43" s="86">
        <f>IFERROR(ROUND(($I43/Instrucciones!$C$14)*(Instrucciones!$C$15+Instrucciones!$C$16),0),"")</f>
        <v>2</v>
      </c>
      <c r="Q43" s="86" t="str">
        <f t="shared" si="7"/>
        <v>OK</v>
      </c>
      <c r="R43" s="88">
        <f t="shared" si="11"/>
        <v>58500</v>
      </c>
    </row>
    <row r="44" spans="1:18" ht="15" customHeight="1" x14ac:dyDescent="0.3">
      <c r="A44" s="89" t="s">
        <v>123</v>
      </c>
      <c r="B44" s="89" t="s">
        <v>124</v>
      </c>
      <c r="C44" s="89" t="s">
        <v>122</v>
      </c>
      <c r="D44" s="89" t="s">
        <v>48</v>
      </c>
      <c r="E44" s="90">
        <v>9600</v>
      </c>
      <c r="F44" s="90">
        <v>22500</v>
      </c>
      <c r="G44" s="82">
        <f t="shared" si="8"/>
        <v>0.57333333333333336</v>
      </c>
      <c r="H44" s="91">
        <v>24</v>
      </c>
      <c r="I44" s="83">
        <f>IF($A44="",0,SUMIFS(Ventas!$D$5:$D$204,Ventas!$B$5:$B$204,$A44))</f>
        <v>3</v>
      </c>
      <c r="J44" s="84">
        <f t="shared" si="9"/>
        <v>67500</v>
      </c>
      <c r="K44" s="84">
        <f t="shared" si="10"/>
        <v>38700</v>
      </c>
      <c r="L44" s="82">
        <f t="shared" si="3"/>
        <v>1.1263441039640637E-2</v>
      </c>
      <c r="M44" s="85">
        <f t="shared" si="4"/>
        <v>24</v>
      </c>
      <c r="N44" s="86" t="str">
        <f t="shared" si="5"/>
        <v>C</v>
      </c>
      <c r="O44" s="85">
        <f>IFERROR($H44/($I44/Instrucciones!$C$14),"")</f>
        <v>240</v>
      </c>
      <c r="P44" s="86">
        <f>IFERROR(ROUND(($I44/Instrucciones!$C$14)*(Instrucciones!$C$15+Instrucciones!$C$16),0),"")</f>
        <v>2</v>
      </c>
      <c r="Q44" s="86" t="str">
        <f t="shared" si="7"/>
        <v>OK</v>
      </c>
      <c r="R44" s="88">
        <f t="shared" si="11"/>
        <v>67500</v>
      </c>
    </row>
    <row r="45" spans="1:18" ht="15" customHeight="1" x14ac:dyDescent="0.3">
      <c r="A45" s="89" t="s">
        <v>125</v>
      </c>
      <c r="B45" s="89" t="s">
        <v>126</v>
      </c>
      <c r="C45" s="89" t="s">
        <v>122</v>
      </c>
      <c r="D45" s="89" t="s">
        <v>36</v>
      </c>
      <c r="E45" s="90">
        <v>3400</v>
      </c>
      <c r="F45" s="90">
        <v>8900</v>
      </c>
      <c r="G45" s="82">
        <f t="shared" si="8"/>
        <v>0.6179775280898876</v>
      </c>
      <c r="H45" s="91">
        <v>88</v>
      </c>
      <c r="I45" s="83">
        <f>IF($A45="",0,SUMIFS(Ventas!$D$5:$D$204,Ventas!$B$5:$B$204,$A45))</f>
        <v>4</v>
      </c>
      <c r="J45" s="84">
        <f t="shared" si="9"/>
        <v>35600</v>
      </c>
      <c r="K45" s="84">
        <f t="shared" si="10"/>
        <v>22000</v>
      </c>
      <c r="L45" s="82">
        <f t="shared" si="3"/>
        <v>5.9404222372030626E-3</v>
      </c>
      <c r="M45" s="85">
        <f t="shared" si="4"/>
        <v>36</v>
      </c>
      <c r="N45" s="86" t="str">
        <f t="shared" si="5"/>
        <v>C</v>
      </c>
      <c r="O45" s="85">
        <f>IFERROR($H45/($I45/Instrucciones!$C$14),"")</f>
        <v>660</v>
      </c>
      <c r="P45" s="86">
        <f>IFERROR(ROUND(($I45/Instrucciones!$C$14)*(Instrucciones!$C$15+Instrucciones!$C$16),0),"")</f>
        <v>3</v>
      </c>
      <c r="Q45" s="86" t="str">
        <f t="shared" si="7"/>
        <v>OK</v>
      </c>
      <c r="R45" s="88">
        <f t="shared" si="11"/>
        <v>35600</v>
      </c>
    </row>
    <row r="46" spans="1:18" ht="15" customHeight="1" x14ac:dyDescent="0.3">
      <c r="A46" s="89" t="s">
        <v>127</v>
      </c>
      <c r="B46" s="89" t="s">
        <v>128</v>
      </c>
      <c r="C46" s="89" t="s">
        <v>122</v>
      </c>
      <c r="D46" s="89" t="s">
        <v>39</v>
      </c>
      <c r="E46" s="90">
        <v>2900</v>
      </c>
      <c r="F46" s="90">
        <v>7200</v>
      </c>
      <c r="G46" s="82">
        <f t="shared" si="8"/>
        <v>0.59722222222222221</v>
      </c>
      <c r="H46" s="91">
        <v>16</v>
      </c>
      <c r="I46" s="83">
        <f>IF($A46="",0,SUMIFS(Ventas!$D$5:$D$204,Ventas!$B$5:$B$204,$A46))</f>
        <v>21</v>
      </c>
      <c r="J46" s="84">
        <f t="shared" si="9"/>
        <v>151200</v>
      </c>
      <c r="K46" s="84">
        <f t="shared" si="10"/>
        <v>90300</v>
      </c>
      <c r="L46" s="82">
        <f t="shared" si="3"/>
        <v>2.5230107928795029E-2</v>
      </c>
      <c r="M46" s="85">
        <f t="shared" si="4"/>
        <v>10</v>
      </c>
      <c r="N46" s="86" t="str">
        <f t="shared" si="5"/>
        <v>B</v>
      </c>
      <c r="O46" s="85">
        <f>IFERROR($H46/($I46/Instrucciones!$C$14),"")</f>
        <v>22.857142857142858</v>
      </c>
      <c r="P46" s="86">
        <f>IFERROR(ROUND(($I46/Instrucciones!$C$14)*(Instrucciones!$C$15+Instrucciones!$C$16),0),"")</f>
        <v>15</v>
      </c>
      <c r="Q46" s="86" t="str">
        <f t="shared" si="7"/>
        <v>OK</v>
      </c>
      <c r="R46" s="88">
        <f t="shared" si="11"/>
        <v>151200</v>
      </c>
    </row>
    <row r="47" spans="1:18" ht="15" customHeight="1" x14ac:dyDescent="0.3">
      <c r="A47" s="89" t="s">
        <v>129</v>
      </c>
      <c r="B47" s="89" t="s">
        <v>130</v>
      </c>
      <c r="C47" s="89" t="s">
        <v>122</v>
      </c>
      <c r="D47" s="89" t="s">
        <v>42</v>
      </c>
      <c r="E47" s="90">
        <v>11000</v>
      </c>
      <c r="F47" s="90">
        <v>24500</v>
      </c>
      <c r="G47" s="82">
        <f t="shared" si="8"/>
        <v>0.55102040816326525</v>
      </c>
      <c r="H47" s="91">
        <v>34</v>
      </c>
      <c r="I47" s="83">
        <f>IF($A47="",0,SUMIFS(Ventas!$D$5:$D$204,Ventas!$B$5:$B$204,$A47))</f>
        <v>3</v>
      </c>
      <c r="J47" s="84">
        <f t="shared" si="9"/>
        <v>73500</v>
      </c>
      <c r="K47" s="84">
        <f t="shared" si="10"/>
        <v>40500</v>
      </c>
      <c r="L47" s="82">
        <f t="shared" si="3"/>
        <v>1.2264635798719805E-2</v>
      </c>
      <c r="M47" s="85">
        <f t="shared" si="4"/>
        <v>21</v>
      </c>
      <c r="N47" s="86" t="str">
        <f t="shared" si="5"/>
        <v>B</v>
      </c>
      <c r="O47" s="85">
        <f>IFERROR($H47/($I47/Instrucciones!$C$14),"")</f>
        <v>340</v>
      </c>
      <c r="P47" s="86">
        <f>IFERROR(ROUND(($I47/Instrucciones!$C$14)*(Instrucciones!$C$15+Instrucciones!$C$16),0),"")</f>
        <v>2</v>
      </c>
      <c r="Q47" s="86" t="str">
        <f t="shared" si="7"/>
        <v>OK</v>
      </c>
      <c r="R47" s="88">
        <f t="shared" si="11"/>
        <v>73500</v>
      </c>
    </row>
    <row r="48" spans="1:18" ht="15" customHeight="1" x14ac:dyDescent="0.3">
      <c r="A48" s="89" t="s">
        <v>131</v>
      </c>
      <c r="B48" s="89" t="s">
        <v>132</v>
      </c>
      <c r="C48" s="89" t="s">
        <v>133</v>
      </c>
      <c r="D48" s="89" t="s">
        <v>45</v>
      </c>
      <c r="E48" s="90">
        <v>13500</v>
      </c>
      <c r="F48" s="90">
        <v>31000</v>
      </c>
      <c r="G48" s="82">
        <f t="shared" si="8"/>
        <v>0.56451612903225812</v>
      </c>
      <c r="H48" s="91">
        <v>20</v>
      </c>
      <c r="I48" s="83">
        <f>IF($A48="",0,SUMIFS(Ventas!$D$5:$D$204,Ventas!$B$5:$B$204,$A48))</f>
        <v>2</v>
      </c>
      <c r="J48" s="84">
        <f t="shared" si="9"/>
        <v>62000</v>
      </c>
      <c r="K48" s="84">
        <f t="shared" si="10"/>
        <v>35000</v>
      </c>
      <c r="L48" s="82">
        <f t="shared" si="3"/>
        <v>1.0345679177151401E-2</v>
      </c>
      <c r="M48" s="85">
        <f t="shared" si="4"/>
        <v>27</v>
      </c>
      <c r="N48" s="86" t="str">
        <f t="shared" si="5"/>
        <v>C</v>
      </c>
      <c r="O48" s="85">
        <f>IFERROR($H48/($I48/Instrucciones!$C$14),"")</f>
        <v>300</v>
      </c>
      <c r="P48" s="86">
        <f>IFERROR(ROUND(($I48/Instrucciones!$C$14)*(Instrucciones!$C$15+Instrucciones!$C$16),0),"")</f>
        <v>1</v>
      </c>
      <c r="Q48" s="86" t="str">
        <f t="shared" si="7"/>
        <v>OK</v>
      </c>
      <c r="R48" s="88">
        <f t="shared" si="11"/>
        <v>62000</v>
      </c>
    </row>
    <row r="49" spans="1:18" ht="15" customHeight="1" x14ac:dyDescent="0.3">
      <c r="A49" s="89"/>
      <c r="B49" s="89"/>
      <c r="C49" s="89"/>
      <c r="D49" s="89"/>
      <c r="E49" s="90"/>
      <c r="F49" s="90"/>
      <c r="G49" s="82" t="str">
        <f>IFERROR(($F49-$E49)/$F49,"")</f>
        <v/>
      </c>
      <c r="H49" s="91"/>
      <c r="I49" s="83">
        <f>IF($A49="",0,SUMIFS(Ventas!$D$5:$D$204,Ventas!$B$5:$B$204,$A49))</f>
        <v>0</v>
      </c>
      <c r="J49" s="84">
        <f>IF($A49="",0,$I49*$F49)</f>
        <v>0</v>
      </c>
      <c r="K49" s="84">
        <f>IF($A49="",0,$I49*($F49-$E49))</f>
        <v>0</v>
      </c>
      <c r="L49" s="82">
        <f>IFERROR($J49/SUM($J$5:$J$104),"")</f>
        <v>0</v>
      </c>
      <c r="M49" s="85" t="str">
        <f>IF($A49="","",COUNTIF($R$5:$R$104,"&gt;"&amp;$R49)+1)</f>
        <v/>
      </c>
      <c r="N49" s="86" t="str">
        <f>IF($A49="","",IF($M49&lt;=MAX(1,ROUND(COUNTIF($A$5:$A$104,"&lt;&gt;")*0.2,0)),"A",IF($M49&lt;=MAX(1,ROUND(COUNTIF($A$5:$A$104,"&lt;&gt;")*0.5,0)),"B","C")))</f>
        <v/>
      </c>
      <c r="O49" s="85" t="str">
        <f>IFERROR($H49/($I49/Instrucciones!$C$14),"")</f>
        <v/>
      </c>
      <c r="P49" s="86">
        <f>IFERROR(ROUND(($I49/Instrucciones!$C$14)*(Instrucciones!$C$15+Instrucciones!$C$16),0),"")</f>
        <v>0</v>
      </c>
      <c r="Q49" s="86" t="str">
        <f>IF($A49="","",IF($I49=0,"SIN ROTACIÓN",IF($H49&lt;=$P49,"COMPRAR","OK")))</f>
        <v/>
      </c>
      <c r="R49" s="88">
        <f>IF($A49="",0,$J49)</f>
        <v>0</v>
      </c>
    </row>
    <row r="50" spans="1:18" ht="15" customHeight="1" x14ac:dyDescent="0.3">
      <c r="A50" s="89"/>
      <c r="B50" s="89"/>
      <c r="C50" s="89"/>
      <c r="D50" s="89"/>
      <c r="E50" s="90"/>
      <c r="F50" s="90"/>
      <c r="G50" s="82" t="str">
        <f t="shared" ref="G50:G103" si="12">IFERROR(($F50-$E50)/$F50,"")</f>
        <v/>
      </c>
      <c r="H50" s="91"/>
      <c r="I50" s="83">
        <f>IF($A50="",0,SUMIFS(Ventas!$D$5:$D$204,Ventas!$B$5:$B$204,$A50))</f>
        <v>0</v>
      </c>
      <c r="J50" s="84">
        <f t="shared" ref="J50:J103" si="13">IF($A50="",0,$I50*$F50)</f>
        <v>0</v>
      </c>
      <c r="K50" s="84">
        <f t="shared" ref="K50:K103" si="14">IF($A50="",0,$I50*($F50-$E50))</f>
        <v>0</v>
      </c>
      <c r="L50" s="82">
        <f t="shared" ref="L50:L103" si="15">IFERROR($J50/SUM($J$5:$J$104),"")</f>
        <v>0</v>
      </c>
      <c r="M50" s="85" t="str">
        <f t="shared" ref="M50:M103" si="16">IF($A50="","",COUNTIF($R$5:$R$104,"&gt;"&amp;$R50)+1)</f>
        <v/>
      </c>
      <c r="N50" s="86" t="str">
        <f t="shared" ref="N50:N103" si="17">IF($A50="","",IF($M50&lt;=MAX(1,ROUND(COUNTIF($A$5:$A$104,"&lt;&gt;")*0.2,0)),"A",IF($M50&lt;=MAX(1,ROUND(COUNTIF($A$5:$A$104,"&lt;&gt;")*0.5,0)),"B","C")))</f>
        <v/>
      </c>
      <c r="O50" s="85" t="str">
        <f>IFERROR($H50/($I50/Instrucciones!$C$14),"")</f>
        <v/>
      </c>
      <c r="P50" s="86">
        <f>IFERROR(ROUND(($I50/Instrucciones!$C$14)*(Instrucciones!$C$15+Instrucciones!$C$16),0),"")</f>
        <v>0</v>
      </c>
      <c r="Q50" s="86" t="str">
        <f t="shared" ref="Q50:Q103" si="18">IF($A50="","",IF($I50=0,"SIN ROTACIÓN",IF($H50&lt;=$P50,"COMPRAR","OK")))</f>
        <v/>
      </c>
      <c r="R50" s="88">
        <f t="shared" ref="R50:R103" si="19">IF($A50="",0,$J50)</f>
        <v>0</v>
      </c>
    </row>
    <row r="51" spans="1:18" ht="15" customHeight="1" x14ac:dyDescent="0.3">
      <c r="A51" s="89"/>
      <c r="B51" s="89"/>
      <c r="C51" s="89"/>
      <c r="D51" s="89"/>
      <c r="E51" s="90"/>
      <c r="F51" s="90"/>
      <c r="G51" s="82" t="str">
        <f t="shared" si="12"/>
        <v/>
      </c>
      <c r="H51" s="91"/>
      <c r="I51" s="83">
        <f>IF($A51="",0,SUMIFS(Ventas!$D$5:$D$204,Ventas!$B$5:$B$204,$A51))</f>
        <v>0</v>
      </c>
      <c r="J51" s="84">
        <f t="shared" si="13"/>
        <v>0</v>
      </c>
      <c r="K51" s="84">
        <f t="shared" si="14"/>
        <v>0</v>
      </c>
      <c r="L51" s="82">
        <f t="shared" si="15"/>
        <v>0</v>
      </c>
      <c r="M51" s="85" t="str">
        <f t="shared" si="16"/>
        <v/>
      </c>
      <c r="N51" s="86" t="str">
        <f t="shared" si="17"/>
        <v/>
      </c>
      <c r="O51" s="85" t="str">
        <f>IFERROR($H51/($I51/Instrucciones!$C$14),"")</f>
        <v/>
      </c>
      <c r="P51" s="86">
        <f>IFERROR(ROUND(($I51/Instrucciones!$C$14)*(Instrucciones!$C$15+Instrucciones!$C$16),0),"")</f>
        <v>0</v>
      </c>
      <c r="Q51" s="86" t="str">
        <f t="shared" si="18"/>
        <v/>
      </c>
      <c r="R51" s="88">
        <f t="shared" si="19"/>
        <v>0</v>
      </c>
    </row>
    <row r="52" spans="1:18" ht="15" customHeight="1" x14ac:dyDescent="0.3">
      <c r="A52" s="89"/>
      <c r="B52" s="89"/>
      <c r="C52" s="89"/>
      <c r="D52" s="89"/>
      <c r="E52" s="90"/>
      <c r="F52" s="90"/>
      <c r="G52" s="82" t="str">
        <f t="shared" si="12"/>
        <v/>
      </c>
      <c r="H52" s="91"/>
      <c r="I52" s="83">
        <f>IF($A52="",0,SUMIFS(Ventas!$D$5:$D$204,Ventas!$B$5:$B$204,$A52))</f>
        <v>0</v>
      </c>
      <c r="J52" s="84">
        <f t="shared" si="13"/>
        <v>0</v>
      </c>
      <c r="K52" s="84">
        <f t="shared" si="14"/>
        <v>0</v>
      </c>
      <c r="L52" s="82">
        <f t="shared" si="15"/>
        <v>0</v>
      </c>
      <c r="M52" s="85" t="str">
        <f t="shared" si="16"/>
        <v/>
      </c>
      <c r="N52" s="86" t="str">
        <f t="shared" si="17"/>
        <v/>
      </c>
      <c r="O52" s="85" t="str">
        <f>IFERROR($H52/($I52/Instrucciones!$C$14),"")</f>
        <v/>
      </c>
      <c r="P52" s="86">
        <f>IFERROR(ROUND(($I52/Instrucciones!$C$14)*(Instrucciones!$C$15+Instrucciones!$C$16),0),"")</f>
        <v>0</v>
      </c>
      <c r="Q52" s="86" t="str">
        <f t="shared" si="18"/>
        <v/>
      </c>
      <c r="R52" s="88">
        <f t="shared" si="19"/>
        <v>0</v>
      </c>
    </row>
    <row r="53" spans="1:18" ht="15" customHeight="1" x14ac:dyDescent="0.3">
      <c r="A53" s="89"/>
      <c r="B53" s="89"/>
      <c r="C53" s="89"/>
      <c r="D53" s="89"/>
      <c r="E53" s="90"/>
      <c r="F53" s="90"/>
      <c r="G53" s="82" t="str">
        <f t="shared" si="12"/>
        <v/>
      </c>
      <c r="H53" s="91"/>
      <c r="I53" s="83">
        <f>IF($A53="",0,SUMIFS(Ventas!$D$5:$D$204,Ventas!$B$5:$B$204,$A53))</f>
        <v>0</v>
      </c>
      <c r="J53" s="84">
        <f t="shared" si="13"/>
        <v>0</v>
      </c>
      <c r="K53" s="84">
        <f t="shared" si="14"/>
        <v>0</v>
      </c>
      <c r="L53" s="82">
        <f t="shared" si="15"/>
        <v>0</v>
      </c>
      <c r="M53" s="85" t="str">
        <f t="shared" si="16"/>
        <v/>
      </c>
      <c r="N53" s="86" t="str">
        <f t="shared" si="17"/>
        <v/>
      </c>
      <c r="O53" s="85" t="str">
        <f>IFERROR($H53/($I53/Instrucciones!$C$14),"")</f>
        <v/>
      </c>
      <c r="P53" s="86">
        <f>IFERROR(ROUND(($I53/Instrucciones!$C$14)*(Instrucciones!$C$15+Instrucciones!$C$16),0),"")</f>
        <v>0</v>
      </c>
      <c r="Q53" s="86" t="str">
        <f t="shared" si="18"/>
        <v/>
      </c>
      <c r="R53" s="88">
        <f t="shared" si="19"/>
        <v>0</v>
      </c>
    </row>
    <row r="54" spans="1:18" ht="15" customHeight="1" x14ac:dyDescent="0.3">
      <c r="A54" s="89"/>
      <c r="B54" s="89"/>
      <c r="C54" s="89"/>
      <c r="D54" s="89"/>
      <c r="E54" s="90"/>
      <c r="F54" s="90"/>
      <c r="G54" s="82" t="str">
        <f t="shared" si="12"/>
        <v/>
      </c>
      <c r="H54" s="91"/>
      <c r="I54" s="83">
        <f>IF($A54="",0,SUMIFS(Ventas!$D$5:$D$204,Ventas!$B$5:$B$204,$A54))</f>
        <v>0</v>
      </c>
      <c r="J54" s="84">
        <f t="shared" si="13"/>
        <v>0</v>
      </c>
      <c r="K54" s="84">
        <f t="shared" si="14"/>
        <v>0</v>
      </c>
      <c r="L54" s="82">
        <f t="shared" si="15"/>
        <v>0</v>
      </c>
      <c r="M54" s="85" t="str">
        <f t="shared" si="16"/>
        <v/>
      </c>
      <c r="N54" s="86" t="str">
        <f t="shared" si="17"/>
        <v/>
      </c>
      <c r="O54" s="85" t="str">
        <f>IFERROR($H54/($I54/Instrucciones!$C$14),"")</f>
        <v/>
      </c>
      <c r="P54" s="86">
        <f>IFERROR(ROUND(($I54/Instrucciones!$C$14)*(Instrucciones!$C$15+Instrucciones!$C$16),0),"")</f>
        <v>0</v>
      </c>
      <c r="Q54" s="86" t="str">
        <f t="shared" si="18"/>
        <v/>
      </c>
      <c r="R54" s="88">
        <f t="shared" si="19"/>
        <v>0</v>
      </c>
    </row>
    <row r="55" spans="1:18" ht="15" customHeight="1" x14ac:dyDescent="0.3">
      <c r="A55" s="89"/>
      <c r="B55" s="89"/>
      <c r="C55" s="89"/>
      <c r="D55" s="89"/>
      <c r="E55" s="90"/>
      <c r="F55" s="90"/>
      <c r="G55" s="82" t="str">
        <f t="shared" si="12"/>
        <v/>
      </c>
      <c r="H55" s="91"/>
      <c r="I55" s="83">
        <f>IF($A55="",0,SUMIFS(Ventas!$D$5:$D$204,Ventas!$B$5:$B$204,$A55))</f>
        <v>0</v>
      </c>
      <c r="J55" s="84">
        <f t="shared" si="13"/>
        <v>0</v>
      </c>
      <c r="K55" s="84">
        <f t="shared" si="14"/>
        <v>0</v>
      </c>
      <c r="L55" s="82">
        <f t="shared" si="15"/>
        <v>0</v>
      </c>
      <c r="M55" s="85" t="str">
        <f t="shared" si="16"/>
        <v/>
      </c>
      <c r="N55" s="86" t="str">
        <f t="shared" si="17"/>
        <v/>
      </c>
      <c r="O55" s="85" t="str">
        <f>IFERROR($H55/($I55/Instrucciones!$C$14),"")</f>
        <v/>
      </c>
      <c r="P55" s="86">
        <f>IFERROR(ROUND(($I55/Instrucciones!$C$14)*(Instrucciones!$C$15+Instrucciones!$C$16),0),"")</f>
        <v>0</v>
      </c>
      <c r="Q55" s="86" t="str">
        <f t="shared" si="18"/>
        <v/>
      </c>
      <c r="R55" s="88">
        <f t="shared" si="19"/>
        <v>0</v>
      </c>
    </row>
    <row r="56" spans="1:18" ht="15" customHeight="1" x14ac:dyDescent="0.3">
      <c r="A56" s="89"/>
      <c r="B56" s="89"/>
      <c r="C56" s="89"/>
      <c r="D56" s="89"/>
      <c r="E56" s="90"/>
      <c r="F56" s="90"/>
      <c r="G56" s="82" t="str">
        <f t="shared" si="12"/>
        <v/>
      </c>
      <c r="H56" s="91"/>
      <c r="I56" s="83">
        <f>IF($A56="",0,SUMIFS(Ventas!$D$5:$D$204,Ventas!$B$5:$B$204,$A56))</f>
        <v>0</v>
      </c>
      <c r="J56" s="84">
        <f t="shared" si="13"/>
        <v>0</v>
      </c>
      <c r="K56" s="84">
        <f t="shared" si="14"/>
        <v>0</v>
      </c>
      <c r="L56" s="82">
        <f t="shared" si="15"/>
        <v>0</v>
      </c>
      <c r="M56" s="85" t="str">
        <f t="shared" si="16"/>
        <v/>
      </c>
      <c r="N56" s="86" t="str">
        <f t="shared" si="17"/>
        <v/>
      </c>
      <c r="O56" s="85" t="str">
        <f>IFERROR($H56/($I56/Instrucciones!$C$14),"")</f>
        <v/>
      </c>
      <c r="P56" s="86">
        <f>IFERROR(ROUND(($I56/Instrucciones!$C$14)*(Instrucciones!$C$15+Instrucciones!$C$16),0),"")</f>
        <v>0</v>
      </c>
      <c r="Q56" s="86" t="str">
        <f t="shared" si="18"/>
        <v/>
      </c>
      <c r="R56" s="88">
        <f t="shared" si="19"/>
        <v>0</v>
      </c>
    </row>
    <row r="57" spans="1:18" ht="15" customHeight="1" x14ac:dyDescent="0.3">
      <c r="A57" s="89"/>
      <c r="B57" s="89"/>
      <c r="C57" s="89"/>
      <c r="D57" s="89"/>
      <c r="E57" s="90"/>
      <c r="F57" s="90"/>
      <c r="G57" s="82" t="str">
        <f t="shared" si="12"/>
        <v/>
      </c>
      <c r="H57" s="91"/>
      <c r="I57" s="83">
        <f>IF($A57="",0,SUMIFS(Ventas!$D$5:$D$204,Ventas!$B$5:$B$204,$A57))</f>
        <v>0</v>
      </c>
      <c r="J57" s="84">
        <f t="shared" si="13"/>
        <v>0</v>
      </c>
      <c r="K57" s="84">
        <f t="shared" si="14"/>
        <v>0</v>
      </c>
      <c r="L57" s="82">
        <f t="shared" si="15"/>
        <v>0</v>
      </c>
      <c r="M57" s="85" t="str">
        <f t="shared" si="16"/>
        <v/>
      </c>
      <c r="N57" s="86" t="str">
        <f t="shared" si="17"/>
        <v/>
      </c>
      <c r="O57" s="85" t="str">
        <f>IFERROR($H57/($I57/Instrucciones!$C$14),"")</f>
        <v/>
      </c>
      <c r="P57" s="86">
        <f>IFERROR(ROUND(($I57/Instrucciones!$C$14)*(Instrucciones!$C$15+Instrucciones!$C$16),0),"")</f>
        <v>0</v>
      </c>
      <c r="Q57" s="86" t="str">
        <f t="shared" si="18"/>
        <v/>
      </c>
      <c r="R57" s="88">
        <f t="shared" si="19"/>
        <v>0</v>
      </c>
    </row>
    <row r="58" spans="1:18" ht="15" customHeight="1" x14ac:dyDescent="0.3">
      <c r="A58" s="89"/>
      <c r="B58" s="89"/>
      <c r="C58" s="89"/>
      <c r="D58" s="89"/>
      <c r="E58" s="90"/>
      <c r="F58" s="90"/>
      <c r="G58" s="82" t="str">
        <f t="shared" si="12"/>
        <v/>
      </c>
      <c r="H58" s="91"/>
      <c r="I58" s="83">
        <f>IF($A58="",0,SUMIFS(Ventas!$D$5:$D$204,Ventas!$B$5:$B$204,$A58))</f>
        <v>0</v>
      </c>
      <c r="J58" s="84">
        <f t="shared" si="13"/>
        <v>0</v>
      </c>
      <c r="K58" s="84">
        <f t="shared" si="14"/>
        <v>0</v>
      </c>
      <c r="L58" s="82">
        <f t="shared" si="15"/>
        <v>0</v>
      </c>
      <c r="M58" s="85" t="str">
        <f t="shared" si="16"/>
        <v/>
      </c>
      <c r="N58" s="86" t="str">
        <f t="shared" si="17"/>
        <v/>
      </c>
      <c r="O58" s="85" t="str">
        <f>IFERROR($H58/($I58/Instrucciones!$C$14),"")</f>
        <v/>
      </c>
      <c r="P58" s="86">
        <f>IFERROR(ROUND(($I58/Instrucciones!$C$14)*(Instrucciones!$C$15+Instrucciones!$C$16),0),"")</f>
        <v>0</v>
      </c>
      <c r="Q58" s="86" t="str">
        <f t="shared" si="18"/>
        <v/>
      </c>
      <c r="R58" s="88">
        <f t="shared" si="19"/>
        <v>0</v>
      </c>
    </row>
    <row r="59" spans="1:18" ht="15" customHeight="1" x14ac:dyDescent="0.3">
      <c r="A59" s="89"/>
      <c r="B59" s="89"/>
      <c r="C59" s="89"/>
      <c r="D59" s="89"/>
      <c r="E59" s="90"/>
      <c r="F59" s="90"/>
      <c r="G59" s="82" t="str">
        <f t="shared" si="12"/>
        <v/>
      </c>
      <c r="H59" s="91"/>
      <c r="I59" s="83">
        <f>IF($A59="",0,SUMIFS(Ventas!$D$5:$D$204,Ventas!$B$5:$B$204,$A59))</f>
        <v>0</v>
      </c>
      <c r="J59" s="84">
        <f t="shared" si="13"/>
        <v>0</v>
      </c>
      <c r="K59" s="84">
        <f t="shared" si="14"/>
        <v>0</v>
      </c>
      <c r="L59" s="82">
        <f t="shared" si="15"/>
        <v>0</v>
      </c>
      <c r="M59" s="85" t="str">
        <f t="shared" si="16"/>
        <v/>
      </c>
      <c r="N59" s="86" t="str">
        <f t="shared" si="17"/>
        <v/>
      </c>
      <c r="O59" s="85" t="str">
        <f>IFERROR($H59/($I59/Instrucciones!$C$14),"")</f>
        <v/>
      </c>
      <c r="P59" s="86">
        <f>IFERROR(ROUND(($I59/Instrucciones!$C$14)*(Instrucciones!$C$15+Instrucciones!$C$16),0),"")</f>
        <v>0</v>
      </c>
      <c r="Q59" s="86" t="str">
        <f t="shared" si="18"/>
        <v/>
      </c>
      <c r="R59" s="88">
        <f t="shared" si="19"/>
        <v>0</v>
      </c>
    </row>
    <row r="60" spans="1:18" ht="15" customHeight="1" x14ac:dyDescent="0.3">
      <c r="A60" s="89"/>
      <c r="B60" s="89"/>
      <c r="C60" s="89"/>
      <c r="D60" s="89"/>
      <c r="E60" s="90"/>
      <c r="F60" s="90"/>
      <c r="G60" s="82" t="str">
        <f t="shared" si="12"/>
        <v/>
      </c>
      <c r="H60" s="91"/>
      <c r="I60" s="83">
        <f>IF($A60="",0,SUMIFS(Ventas!$D$5:$D$204,Ventas!$B$5:$B$204,$A60))</f>
        <v>0</v>
      </c>
      <c r="J60" s="84">
        <f t="shared" si="13"/>
        <v>0</v>
      </c>
      <c r="K60" s="84">
        <f t="shared" si="14"/>
        <v>0</v>
      </c>
      <c r="L60" s="82">
        <f t="shared" si="15"/>
        <v>0</v>
      </c>
      <c r="M60" s="85" t="str">
        <f t="shared" si="16"/>
        <v/>
      </c>
      <c r="N60" s="86" t="str">
        <f t="shared" si="17"/>
        <v/>
      </c>
      <c r="O60" s="85" t="str">
        <f>IFERROR($H60/($I60/Instrucciones!$C$14),"")</f>
        <v/>
      </c>
      <c r="P60" s="86">
        <f>IFERROR(ROUND(($I60/Instrucciones!$C$14)*(Instrucciones!$C$15+Instrucciones!$C$16),0),"")</f>
        <v>0</v>
      </c>
      <c r="Q60" s="86" t="str">
        <f t="shared" si="18"/>
        <v/>
      </c>
      <c r="R60" s="88">
        <f t="shared" si="19"/>
        <v>0</v>
      </c>
    </row>
    <row r="61" spans="1:18" ht="15" customHeight="1" x14ac:dyDescent="0.3">
      <c r="A61" s="89"/>
      <c r="B61" s="89"/>
      <c r="C61" s="89"/>
      <c r="D61" s="89"/>
      <c r="E61" s="90"/>
      <c r="F61" s="90"/>
      <c r="G61" s="82" t="str">
        <f t="shared" si="12"/>
        <v/>
      </c>
      <c r="H61" s="91"/>
      <c r="I61" s="83">
        <f>IF($A61="",0,SUMIFS(Ventas!$D$5:$D$204,Ventas!$B$5:$B$204,$A61))</f>
        <v>0</v>
      </c>
      <c r="J61" s="84">
        <f t="shared" si="13"/>
        <v>0</v>
      </c>
      <c r="K61" s="84">
        <f t="shared" si="14"/>
        <v>0</v>
      </c>
      <c r="L61" s="82">
        <f t="shared" si="15"/>
        <v>0</v>
      </c>
      <c r="M61" s="85" t="str">
        <f t="shared" si="16"/>
        <v/>
      </c>
      <c r="N61" s="86" t="str">
        <f t="shared" si="17"/>
        <v/>
      </c>
      <c r="O61" s="85" t="str">
        <f>IFERROR($H61/($I61/Instrucciones!$C$14),"")</f>
        <v/>
      </c>
      <c r="P61" s="86">
        <f>IFERROR(ROUND(($I61/Instrucciones!$C$14)*(Instrucciones!$C$15+Instrucciones!$C$16),0),"")</f>
        <v>0</v>
      </c>
      <c r="Q61" s="86" t="str">
        <f t="shared" si="18"/>
        <v/>
      </c>
      <c r="R61" s="88">
        <f t="shared" si="19"/>
        <v>0</v>
      </c>
    </row>
    <row r="62" spans="1:18" ht="15" customHeight="1" x14ac:dyDescent="0.3">
      <c r="A62" s="89"/>
      <c r="B62" s="89"/>
      <c r="C62" s="89"/>
      <c r="D62" s="89"/>
      <c r="E62" s="90"/>
      <c r="F62" s="90"/>
      <c r="G62" s="82" t="str">
        <f t="shared" si="12"/>
        <v/>
      </c>
      <c r="H62" s="91"/>
      <c r="I62" s="83">
        <f>IF($A62="",0,SUMIFS(Ventas!$D$5:$D$204,Ventas!$B$5:$B$204,$A62))</f>
        <v>0</v>
      </c>
      <c r="J62" s="84">
        <f t="shared" si="13"/>
        <v>0</v>
      </c>
      <c r="K62" s="84">
        <f t="shared" si="14"/>
        <v>0</v>
      </c>
      <c r="L62" s="82">
        <f t="shared" si="15"/>
        <v>0</v>
      </c>
      <c r="M62" s="85" t="str">
        <f t="shared" si="16"/>
        <v/>
      </c>
      <c r="N62" s="86" t="str">
        <f t="shared" si="17"/>
        <v/>
      </c>
      <c r="O62" s="85" t="str">
        <f>IFERROR($H62/($I62/Instrucciones!$C$14),"")</f>
        <v/>
      </c>
      <c r="P62" s="86">
        <f>IFERROR(ROUND(($I62/Instrucciones!$C$14)*(Instrucciones!$C$15+Instrucciones!$C$16),0),"")</f>
        <v>0</v>
      </c>
      <c r="Q62" s="86" t="str">
        <f t="shared" si="18"/>
        <v/>
      </c>
      <c r="R62" s="88">
        <f t="shared" si="19"/>
        <v>0</v>
      </c>
    </row>
    <row r="63" spans="1:18" ht="15" customHeight="1" x14ac:dyDescent="0.3">
      <c r="A63" s="89"/>
      <c r="B63" s="89"/>
      <c r="C63" s="89"/>
      <c r="D63" s="89"/>
      <c r="E63" s="90"/>
      <c r="F63" s="90"/>
      <c r="G63" s="82" t="str">
        <f t="shared" si="12"/>
        <v/>
      </c>
      <c r="H63" s="91"/>
      <c r="I63" s="83">
        <f>IF($A63="",0,SUMIFS(Ventas!$D$5:$D$204,Ventas!$B$5:$B$204,$A63))</f>
        <v>0</v>
      </c>
      <c r="J63" s="84">
        <f t="shared" si="13"/>
        <v>0</v>
      </c>
      <c r="K63" s="84">
        <f t="shared" si="14"/>
        <v>0</v>
      </c>
      <c r="L63" s="82">
        <f t="shared" si="15"/>
        <v>0</v>
      </c>
      <c r="M63" s="85" t="str">
        <f t="shared" si="16"/>
        <v/>
      </c>
      <c r="N63" s="86" t="str">
        <f t="shared" si="17"/>
        <v/>
      </c>
      <c r="O63" s="85" t="str">
        <f>IFERROR($H63/($I63/Instrucciones!$C$14),"")</f>
        <v/>
      </c>
      <c r="P63" s="86">
        <f>IFERROR(ROUND(($I63/Instrucciones!$C$14)*(Instrucciones!$C$15+Instrucciones!$C$16),0),"")</f>
        <v>0</v>
      </c>
      <c r="Q63" s="86" t="str">
        <f t="shared" si="18"/>
        <v/>
      </c>
      <c r="R63" s="88">
        <f t="shared" si="19"/>
        <v>0</v>
      </c>
    </row>
    <row r="64" spans="1:18" ht="15" customHeight="1" x14ac:dyDescent="0.3">
      <c r="A64" s="89"/>
      <c r="B64" s="89"/>
      <c r="C64" s="89"/>
      <c r="D64" s="89"/>
      <c r="E64" s="90"/>
      <c r="F64" s="90"/>
      <c r="G64" s="82" t="str">
        <f t="shared" si="12"/>
        <v/>
      </c>
      <c r="H64" s="91"/>
      <c r="I64" s="83">
        <f>IF($A64="",0,SUMIFS(Ventas!$D$5:$D$204,Ventas!$B$5:$B$204,$A64))</f>
        <v>0</v>
      </c>
      <c r="J64" s="84">
        <f t="shared" si="13"/>
        <v>0</v>
      </c>
      <c r="K64" s="84">
        <f t="shared" si="14"/>
        <v>0</v>
      </c>
      <c r="L64" s="82">
        <f t="shared" si="15"/>
        <v>0</v>
      </c>
      <c r="M64" s="85" t="str">
        <f t="shared" si="16"/>
        <v/>
      </c>
      <c r="N64" s="86" t="str">
        <f t="shared" si="17"/>
        <v/>
      </c>
      <c r="O64" s="85" t="str">
        <f>IFERROR($H64/($I64/Instrucciones!$C$14),"")</f>
        <v/>
      </c>
      <c r="P64" s="86">
        <f>IFERROR(ROUND(($I64/Instrucciones!$C$14)*(Instrucciones!$C$15+Instrucciones!$C$16),0),"")</f>
        <v>0</v>
      </c>
      <c r="Q64" s="86" t="str">
        <f t="shared" si="18"/>
        <v/>
      </c>
      <c r="R64" s="88">
        <f t="shared" si="19"/>
        <v>0</v>
      </c>
    </row>
    <row r="65" spans="1:18" ht="15" customHeight="1" x14ac:dyDescent="0.3">
      <c r="A65" s="89"/>
      <c r="B65" s="89"/>
      <c r="C65" s="89"/>
      <c r="D65" s="89"/>
      <c r="E65" s="90"/>
      <c r="F65" s="90"/>
      <c r="G65" s="82" t="str">
        <f t="shared" si="12"/>
        <v/>
      </c>
      <c r="H65" s="91"/>
      <c r="I65" s="83">
        <f>IF($A65="",0,SUMIFS(Ventas!$D$5:$D$204,Ventas!$B$5:$B$204,$A65))</f>
        <v>0</v>
      </c>
      <c r="J65" s="84">
        <f t="shared" si="13"/>
        <v>0</v>
      </c>
      <c r="K65" s="84">
        <f t="shared" si="14"/>
        <v>0</v>
      </c>
      <c r="L65" s="82">
        <f t="shared" si="15"/>
        <v>0</v>
      </c>
      <c r="M65" s="85" t="str">
        <f t="shared" si="16"/>
        <v/>
      </c>
      <c r="N65" s="86" t="str">
        <f t="shared" si="17"/>
        <v/>
      </c>
      <c r="O65" s="85" t="str">
        <f>IFERROR($H65/($I65/Instrucciones!$C$14),"")</f>
        <v/>
      </c>
      <c r="P65" s="86">
        <f>IFERROR(ROUND(($I65/Instrucciones!$C$14)*(Instrucciones!$C$15+Instrucciones!$C$16),0),"")</f>
        <v>0</v>
      </c>
      <c r="Q65" s="86" t="str">
        <f t="shared" si="18"/>
        <v/>
      </c>
      <c r="R65" s="88">
        <f t="shared" si="19"/>
        <v>0</v>
      </c>
    </row>
    <row r="66" spans="1:18" ht="15" customHeight="1" x14ac:dyDescent="0.3">
      <c r="A66" s="89"/>
      <c r="B66" s="89"/>
      <c r="C66" s="89"/>
      <c r="D66" s="89"/>
      <c r="E66" s="90"/>
      <c r="F66" s="90"/>
      <c r="G66" s="82" t="str">
        <f t="shared" si="12"/>
        <v/>
      </c>
      <c r="H66" s="91"/>
      <c r="I66" s="83">
        <f>IF($A66="",0,SUMIFS(Ventas!$D$5:$D$204,Ventas!$B$5:$B$204,$A66))</f>
        <v>0</v>
      </c>
      <c r="J66" s="84">
        <f t="shared" si="13"/>
        <v>0</v>
      </c>
      <c r="K66" s="84">
        <f t="shared" si="14"/>
        <v>0</v>
      </c>
      <c r="L66" s="82">
        <f t="shared" si="15"/>
        <v>0</v>
      </c>
      <c r="M66" s="85" t="str">
        <f t="shared" si="16"/>
        <v/>
      </c>
      <c r="N66" s="86" t="str">
        <f t="shared" si="17"/>
        <v/>
      </c>
      <c r="O66" s="85" t="str">
        <f>IFERROR($H66/($I66/Instrucciones!$C$14),"")</f>
        <v/>
      </c>
      <c r="P66" s="86">
        <f>IFERROR(ROUND(($I66/Instrucciones!$C$14)*(Instrucciones!$C$15+Instrucciones!$C$16),0),"")</f>
        <v>0</v>
      </c>
      <c r="Q66" s="86" t="str">
        <f t="shared" si="18"/>
        <v/>
      </c>
      <c r="R66" s="88">
        <f t="shared" si="19"/>
        <v>0</v>
      </c>
    </row>
    <row r="67" spans="1:18" ht="15" customHeight="1" x14ac:dyDescent="0.3">
      <c r="A67" s="89"/>
      <c r="B67" s="89"/>
      <c r="C67" s="89"/>
      <c r="D67" s="89"/>
      <c r="E67" s="90"/>
      <c r="F67" s="90"/>
      <c r="G67" s="82" t="str">
        <f t="shared" si="12"/>
        <v/>
      </c>
      <c r="H67" s="91"/>
      <c r="I67" s="83">
        <f>IF($A67="",0,SUMIFS(Ventas!$D$5:$D$204,Ventas!$B$5:$B$204,$A67))</f>
        <v>0</v>
      </c>
      <c r="J67" s="84">
        <f t="shared" si="13"/>
        <v>0</v>
      </c>
      <c r="K67" s="84">
        <f t="shared" si="14"/>
        <v>0</v>
      </c>
      <c r="L67" s="82">
        <f t="shared" si="15"/>
        <v>0</v>
      </c>
      <c r="M67" s="85" t="str">
        <f t="shared" si="16"/>
        <v/>
      </c>
      <c r="N67" s="86" t="str">
        <f t="shared" si="17"/>
        <v/>
      </c>
      <c r="O67" s="85" t="str">
        <f>IFERROR($H67/($I67/Instrucciones!$C$14),"")</f>
        <v/>
      </c>
      <c r="P67" s="86">
        <f>IFERROR(ROUND(($I67/Instrucciones!$C$14)*(Instrucciones!$C$15+Instrucciones!$C$16),0),"")</f>
        <v>0</v>
      </c>
      <c r="Q67" s="86" t="str">
        <f t="shared" si="18"/>
        <v/>
      </c>
      <c r="R67" s="88">
        <f t="shared" si="19"/>
        <v>0</v>
      </c>
    </row>
    <row r="68" spans="1:18" ht="15" customHeight="1" x14ac:dyDescent="0.3">
      <c r="A68" s="89"/>
      <c r="B68" s="89"/>
      <c r="C68" s="89"/>
      <c r="D68" s="89"/>
      <c r="E68" s="90"/>
      <c r="F68" s="90"/>
      <c r="G68" s="82" t="str">
        <f t="shared" si="12"/>
        <v/>
      </c>
      <c r="H68" s="91"/>
      <c r="I68" s="83">
        <f>IF($A68="",0,SUMIFS(Ventas!$D$5:$D$204,Ventas!$B$5:$B$204,$A68))</f>
        <v>0</v>
      </c>
      <c r="J68" s="84">
        <f t="shared" si="13"/>
        <v>0</v>
      </c>
      <c r="K68" s="84">
        <f t="shared" si="14"/>
        <v>0</v>
      </c>
      <c r="L68" s="82">
        <f t="shared" si="15"/>
        <v>0</v>
      </c>
      <c r="M68" s="85" t="str">
        <f t="shared" si="16"/>
        <v/>
      </c>
      <c r="N68" s="86" t="str">
        <f t="shared" si="17"/>
        <v/>
      </c>
      <c r="O68" s="85" t="str">
        <f>IFERROR($H68/($I68/Instrucciones!$C$14),"")</f>
        <v/>
      </c>
      <c r="P68" s="86">
        <f>IFERROR(ROUND(($I68/Instrucciones!$C$14)*(Instrucciones!$C$15+Instrucciones!$C$16),0),"")</f>
        <v>0</v>
      </c>
      <c r="Q68" s="86" t="str">
        <f t="shared" si="18"/>
        <v/>
      </c>
      <c r="R68" s="88">
        <f t="shared" si="19"/>
        <v>0</v>
      </c>
    </row>
    <row r="69" spans="1:18" ht="15" customHeight="1" x14ac:dyDescent="0.3">
      <c r="A69" s="89"/>
      <c r="B69" s="89"/>
      <c r="C69" s="89"/>
      <c r="D69" s="89"/>
      <c r="E69" s="90"/>
      <c r="F69" s="90"/>
      <c r="G69" s="82" t="str">
        <f t="shared" si="12"/>
        <v/>
      </c>
      <c r="H69" s="91"/>
      <c r="I69" s="83">
        <f>IF($A69="",0,SUMIFS(Ventas!$D$5:$D$204,Ventas!$B$5:$B$204,$A69))</f>
        <v>0</v>
      </c>
      <c r="J69" s="84">
        <f t="shared" si="13"/>
        <v>0</v>
      </c>
      <c r="K69" s="84">
        <f t="shared" si="14"/>
        <v>0</v>
      </c>
      <c r="L69" s="82">
        <f t="shared" si="15"/>
        <v>0</v>
      </c>
      <c r="M69" s="85" t="str">
        <f t="shared" si="16"/>
        <v/>
      </c>
      <c r="N69" s="86" t="str">
        <f t="shared" si="17"/>
        <v/>
      </c>
      <c r="O69" s="85" t="str">
        <f>IFERROR($H69/($I69/Instrucciones!$C$14),"")</f>
        <v/>
      </c>
      <c r="P69" s="86">
        <f>IFERROR(ROUND(($I69/Instrucciones!$C$14)*(Instrucciones!$C$15+Instrucciones!$C$16),0),"")</f>
        <v>0</v>
      </c>
      <c r="Q69" s="86" t="str">
        <f t="shared" si="18"/>
        <v/>
      </c>
      <c r="R69" s="88">
        <f t="shared" si="19"/>
        <v>0</v>
      </c>
    </row>
    <row r="70" spans="1:18" ht="15" customHeight="1" x14ac:dyDescent="0.3">
      <c r="A70" s="89"/>
      <c r="B70" s="89"/>
      <c r="C70" s="89"/>
      <c r="D70" s="89"/>
      <c r="E70" s="90"/>
      <c r="F70" s="90"/>
      <c r="G70" s="82" t="str">
        <f t="shared" si="12"/>
        <v/>
      </c>
      <c r="H70" s="91"/>
      <c r="I70" s="83">
        <f>IF($A70="",0,SUMIFS(Ventas!$D$5:$D$204,Ventas!$B$5:$B$204,$A70))</f>
        <v>0</v>
      </c>
      <c r="J70" s="84">
        <f t="shared" si="13"/>
        <v>0</v>
      </c>
      <c r="K70" s="84">
        <f t="shared" si="14"/>
        <v>0</v>
      </c>
      <c r="L70" s="82">
        <f t="shared" si="15"/>
        <v>0</v>
      </c>
      <c r="M70" s="85" t="str">
        <f t="shared" si="16"/>
        <v/>
      </c>
      <c r="N70" s="86" t="str">
        <f t="shared" si="17"/>
        <v/>
      </c>
      <c r="O70" s="85" t="str">
        <f>IFERROR($H70/($I70/Instrucciones!$C$14),"")</f>
        <v/>
      </c>
      <c r="P70" s="86">
        <f>IFERROR(ROUND(($I70/Instrucciones!$C$14)*(Instrucciones!$C$15+Instrucciones!$C$16),0),"")</f>
        <v>0</v>
      </c>
      <c r="Q70" s="86" t="str">
        <f t="shared" si="18"/>
        <v/>
      </c>
      <c r="R70" s="88">
        <f t="shared" si="19"/>
        <v>0</v>
      </c>
    </row>
    <row r="71" spans="1:18" ht="15" customHeight="1" x14ac:dyDescent="0.3">
      <c r="A71" s="89"/>
      <c r="B71" s="89"/>
      <c r="C71" s="89"/>
      <c r="D71" s="89"/>
      <c r="E71" s="90"/>
      <c r="F71" s="90"/>
      <c r="G71" s="82" t="str">
        <f t="shared" si="12"/>
        <v/>
      </c>
      <c r="H71" s="91"/>
      <c r="I71" s="83">
        <f>IF($A71="",0,SUMIFS(Ventas!$D$5:$D$204,Ventas!$B$5:$B$204,$A71))</f>
        <v>0</v>
      </c>
      <c r="J71" s="84">
        <f t="shared" si="13"/>
        <v>0</v>
      </c>
      <c r="K71" s="84">
        <f t="shared" si="14"/>
        <v>0</v>
      </c>
      <c r="L71" s="82">
        <f t="shared" si="15"/>
        <v>0</v>
      </c>
      <c r="M71" s="85" t="str">
        <f t="shared" si="16"/>
        <v/>
      </c>
      <c r="N71" s="86" t="str">
        <f t="shared" si="17"/>
        <v/>
      </c>
      <c r="O71" s="85" t="str">
        <f>IFERROR($H71/($I71/Instrucciones!$C$14),"")</f>
        <v/>
      </c>
      <c r="P71" s="86">
        <f>IFERROR(ROUND(($I71/Instrucciones!$C$14)*(Instrucciones!$C$15+Instrucciones!$C$16),0),"")</f>
        <v>0</v>
      </c>
      <c r="Q71" s="86" t="str">
        <f t="shared" si="18"/>
        <v/>
      </c>
      <c r="R71" s="88">
        <f t="shared" si="19"/>
        <v>0</v>
      </c>
    </row>
    <row r="72" spans="1:18" ht="15" customHeight="1" x14ac:dyDescent="0.3">
      <c r="A72" s="89"/>
      <c r="B72" s="89"/>
      <c r="C72" s="89"/>
      <c r="D72" s="89"/>
      <c r="E72" s="90"/>
      <c r="F72" s="90"/>
      <c r="G72" s="82" t="str">
        <f t="shared" si="12"/>
        <v/>
      </c>
      <c r="H72" s="91"/>
      <c r="I72" s="83">
        <f>IF($A72="",0,SUMIFS(Ventas!$D$5:$D$204,Ventas!$B$5:$B$204,$A72))</f>
        <v>0</v>
      </c>
      <c r="J72" s="84">
        <f t="shared" si="13"/>
        <v>0</v>
      </c>
      <c r="K72" s="84">
        <f t="shared" si="14"/>
        <v>0</v>
      </c>
      <c r="L72" s="82">
        <f t="shared" si="15"/>
        <v>0</v>
      </c>
      <c r="M72" s="85" t="str">
        <f t="shared" si="16"/>
        <v/>
      </c>
      <c r="N72" s="86" t="str">
        <f t="shared" si="17"/>
        <v/>
      </c>
      <c r="O72" s="85" t="str">
        <f>IFERROR($H72/($I72/Instrucciones!$C$14),"")</f>
        <v/>
      </c>
      <c r="P72" s="86">
        <f>IFERROR(ROUND(($I72/Instrucciones!$C$14)*(Instrucciones!$C$15+Instrucciones!$C$16),0),"")</f>
        <v>0</v>
      </c>
      <c r="Q72" s="86" t="str">
        <f t="shared" si="18"/>
        <v/>
      </c>
      <c r="R72" s="88">
        <f t="shared" si="19"/>
        <v>0</v>
      </c>
    </row>
    <row r="73" spans="1:18" ht="15" customHeight="1" x14ac:dyDescent="0.3">
      <c r="A73" s="89"/>
      <c r="B73" s="89"/>
      <c r="C73" s="89"/>
      <c r="D73" s="89"/>
      <c r="E73" s="90"/>
      <c r="F73" s="90"/>
      <c r="G73" s="82" t="str">
        <f t="shared" si="12"/>
        <v/>
      </c>
      <c r="H73" s="91"/>
      <c r="I73" s="83">
        <f>IF($A73="",0,SUMIFS(Ventas!$D$5:$D$204,Ventas!$B$5:$B$204,$A73))</f>
        <v>0</v>
      </c>
      <c r="J73" s="84">
        <f t="shared" si="13"/>
        <v>0</v>
      </c>
      <c r="K73" s="84">
        <f t="shared" si="14"/>
        <v>0</v>
      </c>
      <c r="L73" s="82">
        <f t="shared" si="15"/>
        <v>0</v>
      </c>
      <c r="M73" s="85" t="str">
        <f t="shared" si="16"/>
        <v/>
      </c>
      <c r="N73" s="86" t="str">
        <f t="shared" si="17"/>
        <v/>
      </c>
      <c r="O73" s="85" t="str">
        <f>IFERROR($H73/($I73/Instrucciones!$C$14),"")</f>
        <v/>
      </c>
      <c r="P73" s="86">
        <f>IFERROR(ROUND(($I73/Instrucciones!$C$14)*(Instrucciones!$C$15+Instrucciones!$C$16),0),"")</f>
        <v>0</v>
      </c>
      <c r="Q73" s="86" t="str">
        <f t="shared" si="18"/>
        <v/>
      </c>
      <c r="R73" s="88">
        <f t="shared" si="19"/>
        <v>0</v>
      </c>
    </row>
    <row r="74" spans="1:18" ht="15" customHeight="1" x14ac:dyDescent="0.3">
      <c r="A74" s="89"/>
      <c r="B74" s="89"/>
      <c r="C74" s="89"/>
      <c r="D74" s="89"/>
      <c r="E74" s="90"/>
      <c r="F74" s="90"/>
      <c r="G74" s="82" t="str">
        <f t="shared" si="12"/>
        <v/>
      </c>
      <c r="H74" s="91"/>
      <c r="I74" s="83">
        <f>IF($A74="",0,SUMIFS(Ventas!$D$5:$D$204,Ventas!$B$5:$B$204,$A74))</f>
        <v>0</v>
      </c>
      <c r="J74" s="84">
        <f t="shared" si="13"/>
        <v>0</v>
      </c>
      <c r="K74" s="84">
        <f t="shared" si="14"/>
        <v>0</v>
      </c>
      <c r="L74" s="82">
        <f t="shared" si="15"/>
        <v>0</v>
      </c>
      <c r="M74" s="85" t="str">
        <f t="shared" si="16"/>
        <v/>
      </c>
      <c r="N74" s="86" t="str">
        <f t="shared" si="17"/>
        <v/>
      </c>
      <c r="O74" s="85" t="str">
        <f>IFERROR($H74/($I74/Instrucciones!$C$14),"")</f>
        <v/>
      </c>
      <c r="P74" s="86">
        <f>IFERROR(ROUND(($I74/Instrucciones!$C$14)*(Instrucciones!$C$15+Instrucciones!$C$16),0),"")</f>
        <v>0</v>
      </c>
      <c r="Q74" s="86" t="str">
        <f t="shared" si="18"/>
        <v/>
      </c>
      <c r="R74" s="88">
        <f t="shared" si="19"/>
        <v>0</v>
      </c>
    </row>
    <row r="75" spans="1:18" ht="15" customHeight="1" x14ac:dyDescent="0.3">
      <c r="A75" s="89"/>
      <c r="B75" s="89"/>
      <c r="C75" s="89"/>
      <c r="D75" s="89"/>
      <c r="E75" s="90"/>
      <c r="F75" s="90"/>
      <c r="G75" s="82" t="str">
        <f t="shared" si="12"/>
        <v/>
      </c>
      <c r="H75" s="91"/>
      <c r="I75" s="83">
        <f>IF($A75="",0,SUMIFS(Ventas!$D$5:$D$204,Ventas!$B$5:$B$204,$A75))</f>
        <v>0</v>
      </c>
      <c r="J75" s="84">
        <f t="shared" si="13"/>
        <v>0</v>
      </c>
      <c r="K75" s="84">
        <f t="shared" si="14"/>
        <v>0</v>
      </c>
      <c r="L75" s="82">
        <f t="shared" si="15"/>
        <v>0</v>
      </c>
      <c r="M75" s="85" t="str">
        <f t="shared" si="16"/>
        <v/>
      </c>
      <c r="N75" s="86" t="str">
        <f t="shared" si="17"/>
        <v/>
      </c>
      <c r="O75" s="85" t="str">
        <f>IFERROR($H75/($I75/Instrucciones!$C$14),"")</f>
        <v/>
      </c>
      <c r="P75" s="86">
        <f>IFERROR(ROUND(($I75/Instrucciones!$C$14)*(Instrucciones!$C$15+Instrucciones!$C$16),0),"")</f>
        <v>0</v>
      </c>
      <c r="Q75" s="86" t="str">
        <f t="shared" si="18"/>
        <v/>
      </c>
      <c r="R75" s="88">
        <f t="shared" si="19"/>
        <v>0</v>
      </c>
    </row>
    <row r="76" spans="1:18" ht="15" customHeight="1" x14ac:dyDescent="0.3">
      <c r="A76" s="89"/>
      <c r="B76" s="89"/>
      <c r="C76" s="89"/>
      <c r="D76" s="89"/>
      <c r="E76" s="90"/>
      <c r="F76" s="90"/>
      <c r="G76" s="82" t="str">
        <f t="shared" si="12"/>
        <v/>
      </c>
      <c r="H76" s="91"/>
      <c r="I76" s="83">
        <f>IF($A76="",0,SUMIFS(Ventas!$D$5:$D$204,Ventas!$B$5:$B$204,$A76))</f>
        <v>0</v>
      </c>
      <c r="J76" s="84">
        <f t="shared" si="13"/>
        <v>0</v>
      </c>
      <c r="K76" s="84">
        <f t="shared" si="14"/>
        <v>0</v>
      </c>
      <c r="L76" s="82">
        <f t="shared" si="15"/>
        <v>0</v>
      </c>
      <c r="M76" s="85" t="str">
        <f t="shared" si="16"/>
        <v/>
      </c>
      <c r="N76" s="86" t="str">
        <f t="shared" si="17"/>
        <v/>
      </c>
      <c r="O76" s="85" t="str">
        <f>IFERROR($H76/($I76/Instrucciones!$C$14),"")</f>
        <v/>
      </c>
      <c r="P76" s="86">
        <f>IFERROR(ROUND(($I76/Instrucciones!$C$14)*(Instrucciones!$C$15+Instrucciones!$C$16),0),"")</f>
        <v>0</v>
      </c>
      <c r="Q76" s="86" t="str">
        <f t="shared" si="18"/>
        <v/>
      </c>
      <c r="R76" s="88">
        <f t="shared" si="19"/>
        <v>0</v>
      </c>
    </row>
    <row r="77" spans="1:18" ht="15" customHeight="1" x14ac:dyDescent="0.3">
      <c r="A77" s="89"/>
      <c r="B77" s="89"/>
      <c r="C77" s="89"/>
      <c r="D77" s="89"/>
      <c r="E77" s="90"/>
      <c r="F77" s="90"/>
      <c r="G77" s="82" t="str">
        <f t="shared" si="12"/>
        <v/>
      </c>
      <c r="H77" s="91"/>
      <c r="I77" s="83">
        <f>IF($A77="",0,SUMIFS(Ventas!$D$5:$D$204,Ventas!$B$5:$B$204,$A77))</f>
        <v>0</v>
      </c>
      <c r="J77" s="84">
        <f t="shared" si="13"/>
        <v>0</v>
      </c>
      <c r="K77" s="84">
        <f t="shared" si="14"/>
        <v>0</v>
      </c>
      <c r="L77" s="82">
        <f t="shared" si="15"/>
        <v>0</v>
      </c>
      <c r="M77" s="85" t="str">
        <f t="shared" si="16"/>
        <v/>
      </c>
      <c r="N77" s="86" t="str">
        <f t="shared" si="17"/>
        <v/>
      </c>
      <c r="O77" s="85" t="str">
        <f>IFERROR($H77/($I77/Instrucciones!$C$14),"")</f>
        <v/>
      </c>
      <c r="P77" s="86">
        <f>IFERROR(ROUND(($I77/Instrucciones!$C$14)*(Instrucciones!$C$15+Instrucciones!$C$16),0),"")</f>
        <v>0</v>
      </c>
      <c r="Q77" s="86" t="str">
        <f t="shared" si="18"/>
        <v/>
      </c>
      <c r="R77" s="88">
        <f t="shared" si="19"/>
        <v>0</v>
      </c>
    </row>
    <row r="78" spans="1:18" ht="15" customHeight="1" x14ac:dyDescent="0.3">
      <c r="A78" s="89"/>
      <c r="B78" s="89"/>
      <c r="C78" s="89"/>
      <c r="D78" s="89"/>
      <c r="E78" s="90"/>
      <c r="F78" s="90"/>
      <c r="G78" s="82" t="str">
        <f t="shared" si="12"/>
        <v/>
      </c>
      <c r="H78" s="91"/>
      <c r="I78" s="83">
        <f>IF($A78="",0,SUMIFS(Ventas!$D$5:$D$204,Ventas!$B$5:$B$204,$A78))</f>
        <v>0</v>
      </c>
      <c r="J78" s="84">
        <f t="shared" si="13"/>
        <v>0</v>
      </c>
      <c r="K78" s="84">
        <f t="shared" si="14"/>
        <v>0</v>
      </c>
      <c r="L78" s="82">
        <f t="shared" si="15"/>
        <v>0</v>
      </c>
      <c r="M78" s="85" t="str">
        <f t="shared" si="16"/>
        <v/>
      </c>
      <c r="N78" s="86" t="str">
        <f t="shared" si="17"/>
        <v/>
      </c>
      <c r="O78" s="85" t="str">
        <f>IFERROR($H78/($I78/Instrucciones!$C$14),"")</f>
        <v/>
      </c>
      <c r="P78" s="86">
        <f>IFERROR(ROUND(($I78/Instrucciones!$C$14)*(Instrucciones!$C$15+Instrucciones!$C$16),0),"")</f>
        <v>0</v>
      </c>
      <c r="Q78" s="86" t="str">
        <f t="shared" si="18"/>
        <v/>
      </c>
      <c r="R78" s="88">
        <f t="shared" si="19"/>
        <v>0</v>
      </c>
    </row>
    <row r="79" spans="1:18" ht="15" customHeight="1" x14ac:dyDescent="0.3">
      <c r="A79" s="89"/>
      <c r="B79" s="89"/>
      <c r="C79" s="89"/>
      <c r="D79" s="89"/>
      <c r="E79" s="90"/>
      <c r="F79" s="90"/>
      <c r="G79" s="82" t="str">
        <f t="shared" si="12"/>
        <v/>
      </c>
      <c r="H79" s="91"/>
      <c r="I79" s="83">
        <f>IF($A79="",0,SUMIFS(Ventas!$D$5:$D$204,Ventas!$B$5:$B$204,$A79))</f>
        <v>0</v>
      </c>
      <c r="J79" s="84">
        <f t="shared" si="13"/>
        <v>0</v>
      </c>
      <c r="K79" s="84">
        <f t="shared" si="14"/>
        <v>0</v>
      </c>
      <c r="L79" s="82">
        <f t="shared" si="15"/>
        <v>0</v>
      </c>
      <c r="M79" s="85" t="str">
        <f t="shared" si="16"/>
        <v/>
      </c>
      <c r="N79" s="86" t="str">
        <f t="shared" si="17"/>
        <v/>
      </c>
      <c r="O79" s="85" t="str">
        <f>IFERROR($H79/($I79/Instrucciones!$C$14),"")</f>
        <v/>
      </c>
      <c r="P79" s="86">
        <f>IFERROR(ROUND(($I79/Instrucciones!$C$14)*(Instrucciones!$C$15+Instrucciones!$C$16),0),"")</f>
        <v>0</v>
      </c>
      <c r="Q79" s="86" t="str">
        <f t="shared" si="18"/>
        <v/>
      </c>
      <c r="R79" s="88">
        <f t="shared" si="19"/>
        <v>0</v>
      </c>
    </row>
    <row r="80" spans="1:18" ht="15" customHeight="1" x14ac:dyDescent="0.3">
      <c r="A80" s="89"/>
      <c r="B80" s="89"/>
      <c r="C80" s="89"/>
      <c r="D80" s="89"/>
      <c r="E80" s="90"/>
      <c r="F80" s="90"/>
      <c r="G80" s="82" t="str">
        <f t="shared" si="12"/>
        <v/>
      </c>
      <c r="H80" s="91"/>
      <c r="I80" s="83">
        <f>IF($A80="",0,SUMIFS(Ventas!$D$5:$D$204,Ventas!$B$5:$B$204,$A80))</f>
        <v>0</v>
      </c>
      <c r="J80" s="84">
        <f t="shared" si="13"/>
        <v>0</v>
      </c>
      <c r="K80" s="84">
        <f t="shared" si="14"/>
        <v>0</v>
      </c>
      <c r="L80" s="82">
        <f t="shared" si="15"/>
        <v>0</v>
      </c>
      <c r="M80" s="85" t="str">
        <f t="shared" si="16"/>
        <v/>
      </c>
      <c r="N80" s="86" t="str">
        <f t="shared" si="17"/>
        <v/>
      </c>
      <c r="O80" s="85" t="str">
        <f>IFERROR($H80/($I80/Instrucciones!$C$14),"")</f>
        <v/>
      </c>
      <c r="P80" s="86">
        <f>IFERROR(ROUND(($I80/Instrucciones!$C$14)*(Instrucciones!$C$15+Instrucciones!$C$16),0),"")</f>
        <v>0</v>
      </c>
      <c r="Q80" s="86" t="str">
        <f t="shared" si="18"/>
        <v/>
      </c>
      <c r="R80" s="88">
        <f t="shared" si="19"/>
        <v>0</v>
      </c>
    </row>
    <row r="81" spans="1:18" ht="15" customHeight="1" x14ac:dyDescent="0.3">
      <c r="A81" s="89"/>
      <c r="B81" s="89"/>
      <c r="C81" s="89"/>
      <c r="D81" s="89"/>
      <c r="E81" s="90"/>
      <c r="F81" s="90"/>
      <c r="G81" s="82" t="str">
        <f t="shared" si="12"/>
        <v/>
      </c>
      <c r="H81" s="91"/>
      <c r="I81" s="83">
        <f>IF($A81="",0,SUMIFS(Ventas!$D$5:$D$204,Ventas!$B$5:$B$204,$A81))</f>
        <v>0</v>
      </c>
      <c r="J81" s="84">
        <f t="shared" si="13"/>
        <v>0</v>
      </c>
      <c r="K81" s="84">
        <f t="shared" si="14"/>
        <v>0</v>
      </c>
      <c r="L81" s="82">
        <f t="shared" si="15"/>
        <v>0</v>
      </c>
      <c r="M81" s="85" t="str">
        <f t="shared" si="16"/>
        <v/>
      </c>
      <c r="N81" s="86" t="str">
        <f t="shared" si="17"/>
        <v/>
      </c>
      <c r="O81" s="85" t="str">
        <f>IFERROR($H81/($I81/Instrucciones!$C$14),"")</f>
        <v/>
      </c>
      <c r="P81" s="86">
        <f>IFERROR(ROUND(($I81/Instrucciones!$C$14)*(Instrucciones!$C$15+Instrucciones!$C$16),0),"")</f>
        <v>0</v>
      </c>
      <c r="Q81" s="86" t="str">
        <f t="shared" si="18"/>
        <v/>
      </c>
      <c r="R81" s="88">
        <f t="shared" si="19"/>
        <v>0</v>
      </c>
    </row>
    <row r="82" spans="1:18" ht="15" customHeight="1" x14ac:dyDescent="0.3">
      <c r="A82" s="89"/>
      <c r="B82" s="89"/>
      <c r="C82" s="89"/>
      <c r="D82" s="89"/>
      <c r="E82" s="90"/>
      <c r="F82" s="90"/>
      <c r="G82" s="82" t="str">
        <f t="shared" si="12"/>
        <v/>
      </c>
      <c r="H82" s="91"/>
      <c r="I82" s="83">
        <f>IF($A82="",0,SUMIFS(Ventas!$D$5:$D$204,Ventas!$B$5:$B$204,$A82))</f>
        <v>0</v>
      </c>
      <c r="J82" s="84">
        <f t="shared" si="13"/>
        <v>0</v>
      </c>
      <c r="K82" s="84">
        <f t="shared" si="14"/>
        <v>0</v>
      </c>
      <c r="L82" s="82">
        <f t="shared" si="15"/>
        <v>0</v>
      </c>
      <c r="M82" s="85" t="str">
        <f t="shared" si="16"/>
        <v/>
      </c>
      <c r="N82" s="86" t="str">
        <f t="shared" si="17"/>
        <v/>
      </c>
      <c r="O82" s="85" t="str">
        <f>IFERROR($H82/($I82/Instrucciones!$C$14),"")</f>
        <v/>
      </c>
      <c r="P82" s="86">
        <f>IFERROR(ROUND(($I82/Instrucciones!$C$14)*(Instrucciones!$C$15+Instrucciones!$C$16),0),"")</f>
        <v>0</v>
      </c>
      <c r="Q82" s="86" t="str">
        <f t="shared" si="18"/>
        <v/>
      </c>
      <c r="R82" s="88">
        <f t="shared" si="19"/>
        <v>0</v>
      </c>
    </row>
    <row r="83" spans="1:18" ht="15" customHeight="1" x14ac:dyDescent="0.3">
      <c r="A83" s="89"/>
      <c r="B83" s="89"/>
      <c r="C83" s="89"/>
      <c r="D83" s="89"/>
      <c r="E83" s="90"/>
      <c r="F83" s="90"/>
      <c r="G83" s="82" t="str">
        <f t="shared" si="12"/>
        <v/>
      </c>
      <c r="H83" s="91"/>
      <c r="I83" s="83">
        <f>IF($A83="",0,SUMIFS(Ventas!$D$5:$D$204,Ventas!$B$5:$B$204,$A83))</f>
        <v>0</v>
      </c>
      <c r="J83" s="84">
        <f t="shared" si="13"/>
        <v>0</v>
      </c>
      <c r="K83" s="84">
        <f t="shared" si="14"/>
        <v>0</v>
      </c>
      <c r="L83" s="82">
        <f t="shared" si="15"/>
        <v>0</v>
      </c>
      <c r="M83" s="85" t="str">
        <f t="shared" si="16"/>
        <v/>
      </c>
      <c r="N83" s="86" t="str">
        <f t="shared" si="17"/>
        <v/>
      </c>
      <c r="O83" s="85" t="str">
        <f>IFERROR($H83/($I83/Instrucciones!$C$14),"")</f>
        <v/>
      </c>
      <c r="P83" s="86">
        <f>IFERROR(ROUND(($I83/Instrucciones!$C$14)*(Instrucciones!$C$15+Instrucciones!$C$16),0),"")</f>
        <v>0</v>
      </c>
      <c r="Q83" s="86" t="str">
        <f t="shared" si="18"/>
        <v/>
      </c>
      <c r="R83" s="88">
        <f t="shared" si="19"/>
        <v>0</v>
      </c>
    </row>
    <row r="84" spans="1:18" ht="15" customHeight="1" x14ac:dyDescent="0.3">
      <c r="A84" s="89"/>
      <c r="B84" s="89"/>
      <c r="C84" s="89"/>
      <c r="D84" s="89"/>
      <c r="E84" s="90"/>
      <c r="F84" s="90"/>
      <c r="G84" s="82" t="str">
        <f t="shared" si="12"/>
        <v/>
      </c>
      <c r="H84" s="91"/>
      <c r="I84" s="83">
        <f>IF($A84="",0,SUMIFS(Ventas!$D$5:$D$204,Ventas!$B$5:$B$204,$A84))</f>
        <v>0</v>
      </c>
      <c r="J84" s="84">
        <f t="shared" si="13"/>
        <v>0</v>
      </c>
      <c r="K84" s="84">
        <f t="shared" si="14"/>
        <v>0</v>
      </c>
      <c r="L84" s="82">
        <f t="shared" si="15"/>
        <v>0</v>
      </c>
      <c r="M84" s="85" t="str">
        <f t="shared" si="16"/>
        <v/>
      </c>
      <c r="N84" s="86" t="str">
        <f t="shared" si="17"/>
        <v/>
      </c>
      <c r="O84" s="85" t="str">
        <f>IFERROR($H84/($I84/Instrucciones!$C$14),"")</f>
        <v/>
      </c>
      <c r="P84" s="86">
        <f>IFERROR(ROUND(($I84/Instrucciones!$C$14)*(Instrucciones!$C$15+Instrucciones!$C$16),0),"")</f>
        <v>0</v>
      </c>
      <c r="Q84" s="86" t="str">
        <f t="shared" si="18"/>
        <v/>
      </c>
      <c r="R84" s="88">
        <f t="shared" si="19"/>
        <v>0</v>
      </c>
    </row>
    <row r="85" spans="1:18" ht="15" customHeight="1" x14ac:dyDescent="0.3">
      <c r="A85" s="89"/>
      <c r="B85" s="89"/>
      <c r="C85" s="89"/>
      <c r="D85" s="89"/>
      <c r="E85" s="90"/>
      <c r="F85" s="90"/>
      <c r="G85" s="82" t="str">
        <f t="shared" si="12"/>
        <v/>
      </c>
      <c r="H85" s="91"/>
      <c r="I85" s="83">
        <f>IF($A85="",0,SUMIFS(Ventas!$D$5:$D$204,Ventas!$B$5:$B$204,$A85))</f>
        <v>0</v>
      </c>
      <c r="J85" s="84">
        <f t="shared" si="13"/>
        <v>0</v>
      </c>
      <c r="K85" s="84">
        <f t="shared" si="14"/>
        <v>0</v>
      </c>
      <c r="L85" s="82">
        <f t="shared" si="15"/>
        <v>0</v>
      </c>
      <c r="M85" s="85" t="str">
        <f t="shared" si="16"/>
        <v/>
      </c>
      <c r="N85" s="86" t="str">
        <f t="shared" si="17"/>
        <v/>
      </c>
      <c r="O85" s="85" t="str">
        <f>IFERROR($H85/($I85/Instrucciones!$C$14),"")</f>
        <v/>
      </c>
      <c r="P85" s="86">
        <f>IFERROR(ROUND(($I85/Instrucciones!$C$14)*(Instrucciones!$C$15+Instrucciones!$C$16),0),"")</f>
        <v>0</v>
      </c>
      <c r="Q85" s="86" t="str">
        <f t="shared" si="18"/>
        <v/>
      </c>
      <c r="R85" s="88">
        <f t="shared" si="19"/>
        <v>0</v>
      </c>
    </row>
    <row r="86" spans="1:18" ht="15" customHeight="1" x14ac:dyDescent="0.3">
      <c r="A86" s="89"/>
      <c r="B86" s="89"/>
      <c r="C86" s="89"/>
      <c r="D86" s="89"/>
      <c r="E86" s="90"/>
      <c r="F86" s="90"/>
      <c r="G86" s="82" t="str">
        <f t="shared" si="12"/>
        <v/>
      </c>
      <c r="H86" s="91"/>
      <c r="I86" s="83">
        <f>IF($A86="",0,SUMIFS(Ventas!$D$5:$D$204,Ventas!$B$5:$B$204,$A86))</f>
        <v>0</v>
      </c>
      <c r="J86" s="84">
        <f t="shared" si="13"/>
        <v>0</v>
      </c>
      <c r="K86" s="84">
        <f t="shared" si="14"/>
        <v>0</v>
      </c>
      <c r="L86" s="82">
        <f t="shared" si="15"/>
        <v>0</v>
      </c>
      <c r="M86" s="85" t="str">
        <f t="shared" si="16"/>
        <v/>
      </c>
      <c r="N86" s="86" t="str">
        <f t="shared" si="17"/>
        <v/>
      </c>
      <c r="O86" s="85" t="str">
        <f>IFERROR($H86/($I86/Instrucciones!$C$14),"")</f>
        <v/>
      </c>
      <c r="P86" s="86">
        <f>IFERROR(ROUND(($I86/Instrucciones!$C$14)*(Instrucciones!$C$15+Instrucciones!$C$16),0),"")</f>
        <v>0</v>
      </c>
      <c r="Q86" s="86" t="str">
        <f t="shared" si="18"/>
        <v/>
      </c>
      <c r="R86" s="88">
        <f t="shared" si="19"/>
        <v>0</v>
      </c>
    </row>
    <row r="87" spans="1:18" ht="15" customHeight="1" x14ac:dyDescent="0.3">
      <c r="A87" s="89"/>
      <c r="B87" s="89"/>
      <c r="C87" s="89"/>
      <c r="D87" s="89"/>
      <c r="E87" s="90"/>
      <c r="F87" s="90"/>
      <c r="G87" s="82" t="str">
        <f t="shared" si="12"/>
        <v/>
      </c>
      <c r="H87" s="91"/>
      <c r="I87" s="83">
        <f>IF($A87="",0,SUMIFS(Ventas!$D$5:$D$204,Ventas!$B$5:$B$204,$A87))</f>
        <v>0</v>
      </c>
      <c r="J87" s="84">
        <f t="shared" si="13"/>
        <v>0</v>
      </c>
      <c r="K87" s="84">
        <f t="shared" si="14"/>
        <v>0</v>
      </c>
      <c r="L87" s="82">
        <f t="shared" si="15"/>
        <v>0</v>
      </c>
      <c r="M87" s="85" t="str">
        <f t="shared" si="16"/>
        <v/>
      </c>
      <c r="N87" s="86" t="str">
        <f t="shared" si="17"/>
        <v/>
      </c>
      <c r="O87" s="85" t="str">
        <f>IFERROR($H87/($I87/Instrucciones!$C$14),"")</f>
        <v/>
      </c>
      <c r="P87" s="86">
        <f>IFERROR(ROUND(($I87/Instrucciones!$C$14)*(Instrucciones!$C$15+Instrucciones!$C$16),0),"")</f>
        <v>0</v>
      </c>
      <c r="Q87" s="86" t="str">
        <f t="shared" si="18"/>
        <v/>
      </c>
      <c r="R87" s="88">
        <f t="shared" si="19"/>
        <v>0</v>
      </c>
    </row>
    <row r="88" spans="1:18" ht="15" customHeight="1" x14ac:dyDescent="0.3">
      <c r="A88" s="89"/>
      <c r="B88" s="89"/>
      <c r="C88" s="89"/>
      <c r="D88" s="89"/>
      <c r="E88" s="90"/>
      <c r="F88" s="90"/>
      <c r="G88" s="82" t="str">
        <f t="shared" si="12"/>
        <v/>
      </c>
      <c r="H88" s="91"/>
      <c r="I88" s="83">
        <f>IF($A88="",0,SUMIFS(Ventas!$D$5:$D$204,Ventas!$B$5:$B$204,$A88))</f>
        <v>0</v>
      </c>
      <c r="J88" s="84">
        <f t="shared" si="13"/>
        <v>0</v>
      </c>
      <c r="K88" s="84">
        <f t="shared" si="14"/>
        <v>0</v>
      </c>
      <c r="L88" s="82">
        <f t="shared" si="15"/>
        <v>0</v>
      </c>
      <c r="M88" s="85" t="str">
        <f t="shared" si="16"/>
        <v/>
      </c>
      <c r="N88" s="86" t="str">
        <f t="shared" si="17"/>
        <v/>
      </c>
      <c r="O88" s="85" t="str">
        <f>IFERROR($H88/($I88/Instrucciones!$C$14),"")</f>
        <v/>
      </c>
      <c r="P88" s="86">
        <f>IFERROR(ROUND(($I88/Instrucciones!$C$14)*(Instrucciones!$C$15+Instrucciones!$C$16),0),"")</f>
        <v>0</v>
      </c>
      <c r="Q88" s="86" t="str">
        <f t="shared" si="18"/>
        <v/>
      </c>
      <c r="R88" s="88">
        <f t="shared" si="19"/>
        <v>0</v>
      </c>
    </row>
    <row r="89" spans="1:18" ht="15" customHeight="1" x14ac:dyDescent="0.3">
      <c r="A89" s="89"/>
      <c r="B89" s="89"/>
      <c r="C89" s="89"/>
      <c r="D89" s="89"/>
      <c r="E89" s="90"/>
      <c r="F89" s="90"/>
      <c r="G89" s="82" t="str">
        <f t="shared" si="12"/>
        <v/>
      </c>
      <c r="H89" s="91"/>
      <c r="I89" s="83">
        <f>IF($A89="",0,SUMIFS(Ventas!$D$5:$D$204,Ventas!$B$5:$B$204,$A89))</f>
        <v>0</v>
      </c>
      <c r="J89" s="84">
        <f t="shared" si="13"/>
        <v>0</v>
      </c>
      <c r="K89" s="84">
        <f t="shared" si="14"/>
        <v>0</v>
      </c>
      <c r="L89" s="82">
        <f t="shared" si="15"/>
        <v>0</v>
      </c>
      <c r="M89" s="85" t="str">
        <f t="shared" si="16"/>
        <v/>
      </c>
      <c r="N89" s="86" t="str">
        <f t="shared" si="17"/>
        <v/>
      </c>
      <c r="O89" s="85" t="str">
        <f>IFERROR($H89/($I89/Instrucciones!$C$14),"")</f>
        <v/>
      </c>
      <c r="P89" s="86">
        <f>IFERROR(ROUND(($I89/Instrucciones!$C$14)*(Instrucciones!$C$15+Instrucciones!$C$16),0),"")</f>
        <v>0</v>
      </c>
      <c r="Q89" s="86" t="str">
        <f t="shared" si="18"/>
        <v/>
      </c>
      <c r="R89" s="88">
        <f t="shared" si="19"/>
        <v>0</v>
      </c>
    </row>
    <row r="90" spans="1:18" ht="15" customHeight="1" x14ac:dyDescent="0.3">
      <c r="A90" s="89"/>
      <c r="B90" s="89"/>
      <c r="C90" s="89"/>
      <c r="D90" s="89"/>
      <c r="E90" s="90"/>
      <c r="F90" s="90"/>
      <c r="G90" s="82" t="str">
        <f t="shared" si="12"/>
        <v/>
      </c>
      <c r="H90" s="91"/>
      <c r="I90" s="83">
        <f>IF($A90="",0,SUMIFS(Ventas!$D$5:$D$204,Ventas!$B$5:$B$204,$A90))</f>
        <v>0</v>
      </c>
      <c r="J90" s="84">
        <f t="shared" si="13"/>
        <v>0</v>
      </c>
      <c r="K90" s="84">
        <f t="shared" si="14"/>
        <v>0</v>
      </c>
      <c r="L90" s="82">
        <f t="shared" si="15"/>
        <v>0</v>
      </c>
      <c r="M90" s="85" t="str">
        <f t="shared" si="16"/>
        <v/>
      </c>
      <c r="N90" s="86" t="str">
        <f t="shared" si="17"/>
        <v/>
      </c>
      <c r="O90" s="85" t="str">
        <f>IFERROR($H90/($I90/Instrucciones!$C$14),"")</f>
        <v/>
      </c>
      <c r="P90" s="86">
        <f>IFERROR(ROUND(($I90/Instrucciones!$C$14)*(Instrucciones!$C$15+Instrucciones!$C$16),0),"")</f>
        <v>0</v>
      </c>
      <c r="Q90" s="86" t="str">
        <f t="shared" si="18"/>
        <v/>
      </c>
      <c r="R90" s="88">
        <f t="shared" si="19"/>
        <v>0</v>
      </c>
    </row>
    <row r="91" spans="1:18" ht="15" customHeight="1" x14ac:dyDescent="0.3">
      <c r="A91" s="89"/>
      <c r="B91" s="89"/>
      <c r="C91" s="89"/>
      <c r="D91" s="89"/>
      <c r="E91" s="90"/>
      <c r="F91" s="90"/>
      <c r="G91" s="82" t="str">
        <f t="shared" si="12"/>
        <v/>
      </c>
      <c r="H91" s="91"/>
      <c r="I91" s="83">
        <f>IF($A91="",0,SUMIFS(Ventas!$D$5:$D$204,Ventas!$B$5:$B$204,$A91))</f>
        <v>0</v>
      </c>
      <c r="J91" s="84">
        <f t="shared" si="13"/>
        <v>0</v>
      </c>
      <c r="K91" s="84">
        <f t="shared" si="14"/>
        <v>0</v>
      </c>
      <c r="L91" s="82">
        <f t="shared" si="15"/>
        <v>0</v>
      </c>
      <c r="M91" s="85" t="str">
        <f t="shared" si="16"/>
        <v/>
      </c>
      <c r="N91" s="86" t="str">
        <f t="shared" si="17"/>
        <v/>
      </c>
      <c r="O91" s="85" t="str">
        <f>IFERROR($H91/($I91/Instrucciones!$C$14),"")</f>
        <v/>
      </c>
      <c r="P91" s="86">
        <f>IFERROR(ROUND(($I91/Instrucciones!$C$14)*(Instrucciones!$C$15+Instrucciones!$C$16),0),"")</f>
        <v>0</v>
      </c>
      <c r="Q91" s="86" t="str">
        <f t="shared" si="18"/>
        <v/>
      </c>
      <c r="R91" s="88">
        <f t="shared" si="19"/>
        <v>0</v>
      </c>
    </row>
    <row r="92" spans="1:18" ht="15" customHeight="1" x14ac:dyDescent="0.3">
      <c r="A92" s="89"/>
      <c r="B92" s="89"/>
      <c r="C92" s="89"/>
      <c r="D92" s="89"/>
      <c r="E92" s="90"/>
      <c r="F92" s="90"/>
      <c r="G92" s="82" t="str">
        <f t="shared" si="12"/>
        <v/>
      </c>
      <c r="H92" s="91"/>
      <c r="I92" s="83">
        <f>IF($A92="",0,SUMIFS(Ventas!$D$5:$D$204,Ventas!$B$5:$B$204,$A92))</f>
        <v>0</v>
      </c>
      <c r="J92" s="84">
        <f t="shared" si="13"/>
        <v>0</v>
      </c>
      <c r="K92" s="84">
        <f t="shared" si="14"/>
        <v>0</v>
      </c>
      <c r="L92" s="82">
        <f t="shared" si="15"/>
        <v>0</v>
      </c>
      <c r="M92" s="85" t="str">
        <f t="shared" si="16"/>
        <v/>
      </c>
      <c r="N92" s="86" t="str">
        <f t="shared" si="17"/>
        <v/>
      </c>
      <c r="O92" s="85" t="str">
        <f>IFERROR($H92/($I92/Instrucciones!$C$14),"")</f>
        <v/>
      </c>
      <c r="P92" s="86">
        <f>IFERROR(ROUND(($I92/Instrucciones!$C$14)*(Instrucciones!$C$15+Instrucciones!$C$16),0),"")</f>
        <v>0</v>
      </c>
      <c r="Q92" s="86" t="str">
        <f t="shared" si="18"/>
        <v/>
      </c>
      <c r="R92" s="88">
        <f t="shared" si="19"/>
        <v>0</v>
      </c>
    </row>
    <row r="93" spans="1:18" ht="15" customHeight="1" x14ac:dyDescent="0.3">
      <c r="A93" s="89"/>
      <c r="B93" s="89"/>
      <c r="C93" s="89"/>
      <c r="D93" s="89"/>
      <c r="E93" s="90"/>
      <c r="F93" s="90"/>
      <c r="G93" s="82" t="str">
        <f t="shared" si="12"/>
        <v/>
      </c>
      <c r="H93" s="91"/>
      <c r="I93" s="83">
        <f>IF($A93="",0,SUMIFS(Ventas!$D$5:$D$204,Ventas!$B$5:$B$204,$A93))</f>
        <v>0</v>
      </c>
      <c r="J93" s="84">
        <f t="shared" si="13"/>
        <v>0</v>
      </c>
      <c r="K93" s="84">
        <f t="shared" si="14"/>
        <v>0</v>
      </c>
      <c r="L93" s="82">
        <f t="shared" si="15"/>
        <v>0</v>
      </c>
      <c r="M93" s="85" t="str">
        <f t="shared" si="16"/>
        <v/>
      </c>
      <c r="N93" s="86" t="str">
        <f t="shared" si="17"/>
        <v/>
      </c>
      <c r="O93" s="85" t="str">
        <f>IFERROR($H93/($I93/Instrucciones!$C$14),"")</f>
        <v/>
      </c>
      <c r="P93" s="86">
        <f>IFERROR(ROUND(($I93/Instrucciones!$C$14)*(Instrucciones!$C$15+Instrucciones!$C$16),0),"")</f>
        <v>0</v>
      </c>
      <c r="Q93" s="86" t="str">
        <f t="shared" si="18"/>
        <v/>
      </c>
      <c r="R93" s="88">
        <f t="shared" si="19"/>
        <v>0</v>
      </c>
    </row>
    <row r="94" spans="1:18" ht="15" customHeight="1" x14ac:dyDescent="0.3">
      <c r="A94" s="89"/>
      <c r="B94" s="89"/>
      <c r="C94" s="89"/>
      <c r="D94" s="89"/>
      <c r="E94" s="90"/>
      <c r="F94" s="90"/>
      <c r="G94" s="82" t="str">
        <f t="shared" si="12"/>
        <v/>
      </c>
      <c r="H94" s="91"/>
      <c r="I94" s="83">
        <f>IF($A94="",0,SUMIFS(Ventas!$D$5:$D$204,Ventas!$B$5:$B$204,$A94))</f>
        <v>0</v>
      </c>
      <c r="J94" s="84">
        <f t="shared" si="13"/>
        <v>0</v>
      </c>
      <c r="K94" s="84">
        <f t="shared" si="14"/>
        <v>0</v>
      </c>
      <c r="L94" s="82">
        <f t="shared" si="15"/>
        <v>0</v>
      </c>
      <c r="M94" s="85" t="str">
        <f t="shared" si="16"/>
        <v/>
      </c>
      <c r="N94" s="86" t="str">
        <f t="shared" si="17"/>
        <v/>
      </c>
      <c r="O94" s="85" t="str">
        <f>IFERROR($H94/($I94/Instrucciones!$C$14),"")</f>
        <v/>
      </c>
      <c r="P94" s="86">
        <f>IFERROR(ROUND(($I94/Instrucciones!$C$14)*(Instrucciones!$C$15+Instrucciones!$C$16),0),"")</f>
        <v>0</v>
      </c>
      <c r="Q94" s="86" t="str">
        <f t="shared" si="18"/>
        <v/>
      </c>
      <c r="R94" s="88">
        <f t="shared" si="19"/>
        <v>0</v>
      </c>
    </row>
    <row r="95" spans="1:18" ht="15" customHeight="1" x14ac:dyDescent="0.3">
      <c r="A95" s="89"/>
      <c r="B95" s="89"/>
      <c r="C95" s="89"/>
      <c r="D95" s="89"/>
      <c r="E95" s="90"/>
      <c r="F95" s="90"/>
      <c r="G95" s="82" t="str">
        <f t="shared" si="12"/>
        <v/>
      </c>
      <c r="H95" s="91"/>
      <c r="I95" s="83">
        <f>IF($A95="",0,SUMIFS(Ventas!$D$5:$D$204,Ventas!$B$5:$B$204,$A95))</f>
        <v>0</v>
      </c>
      <c r="J95" s="84">
        <f t="shared" si="13"/>
        <v>0</v>
      </c>
      <c r="K95" s="84">
        <f t="shared" si="14"/>
        <v>0</v>
      </c>
      <c r="L95" s="82">
        <f t="shared" si="15"/>
        <v>0</v>
      </c>
      <c r="M95" s="85" t="str">
        <f t="shared" si="16"/>
        <v/>
      </c>
      <c r="N95" s="86" t="str">
        <f t="shared" si="17"/>
        <v/>
      </c>
      <c r="O95" s="85" t="str">
        <f>IFERROR($H95/($I95/Instrucciones!$C$14),"")</f>
        <v/>
      </c>
      <c r="P95" s="86">
        <f>IFERROR(ROUND(($I95/Instrucciones!$C$14)*(Instrucciones!$C$15+Instrucciones!$C$16),0),"")</f>
        <v>0</v>
      </c>
      <c r="Q95" s="86" t="str">
        <f t="shared" si="18"/>
        <v/>
      </c>
      <c r="R95" s="88">
        <f t="shared" si="19"/>
        <v>0</v>
      </c>
    </row>
    <row r="96" spans="1:18" ht="15" customHeight="1" x14ac:dyDescent="0.3">
      <c r="A96" s="89"/>
      <c r="B96" s="89"/>
      <c r="C96" s="89"/>
      <c r="D96" s="89"/>
      <c r="E96" s="90"/>
      <c r="F96" s="90"/>
      <c r="G96" s="82" t="str">
        <f t="shared" si="12"/>
        <v/>
      </c>
      <c r="H96" s="91"/>
      <c r="I96" s="83">
        <f>IF($A96="",0,SUMIFS(Ventas!$D$5:$D$204,Ventas!$B$5:$B$204,$A96))</f>
        <v>0</v>
      </c>
      <c r="J96" s="84">
        <f t="shared" si="13"/>
        <v>0</v>
      </c>
      <c r="K96" s="84">
        <f t="shared" si="14"/>
        <v>0</v>
      </c>
      <c r="L96" s="82">
        <f t="shared" si="15"/>
        <v>0</v>
      </c>
      <c r="M96" s="85" t="str">
        <f t="shared" si="16"/>
        <v/>
      </c>
      <c r="N96" s="86" t="str">
        <f t="shared" si="17"/>
        <v/>
      </c>
      <c r="O96" s="85" t="str">
        <f>IFERROR($H96/($I96/Instrucciones!$C$14),"")</f>
        <v/>
      </c>
      <c r="P96" s="86">
        <f>IFERROR(ROUND(($I96/Instrucciones!$C$14)*(Instrucciones!$C$15+Instrucciones!$C$16),0),"")</f>
        <v>0</v>
      </c>
      <c r="Q96" s="86" t="str">
        <f t="shared" si="18"/>
        <v/>
      </c>
      <c r="R96" s="88">
        <f t="shared" si="19"/>
        <v>0</v>
      </c>
    </row>
    <row r="97" spans="1:18" ht="15" customHeight="1" x14ac:dyDescent="0.3">
      <c r="A97" s="89"/>
      <c r="B97" s="89"/>
      <c r="C97" s="89"/>
      <c r="D97" s="89"/>
      <c r="E97" s="90"/>
      <c r="F97" s="90"/>
      <c r="G97" s="82" t="str">
        <f t="shared" si="12"/>
        <v/>
      </c>
      <c r="H97" s="91"/>
      <c r="I97" s="83">
        <f>IF($A97="",0,SUMIFS(Ventas!$D$5:$D$204,Ventas!$B$5:$B$204,$A97))</f>
        <v>0</v>
      </c>
      <c r="J97" s="84">
        <f t="shared" si="13"/>
        <v>0</v>
      </c>
      <c r="K97" s="84">
        <f t="shared" si="14"/>
        <v>0</v>
      </c>
      <c r="L97" s="82">
        <f t="shared" si="15"/>
        <v>0</v>
      </c>
      <c r="M97" s="85" t="str">
        <f t="shared" si="16"/>
        <v/>
      </c>
      <c r="N97" s="86" t="str">
        <f t="shared" si="17"/>
        <v/>
      </c>
      <c r="O97" s="85" t="str">
        <f>IFERROR($H97/($I97/Instrucciones!$C$14),"")</f>
        <v/>
      </c>
      <c r="P97" s="86">
        <f>IFERROR(ROUND(($I97/Instrucciones!$C$14)*(Instrucciones!$C$15+Instrucciones!$C$16),0),"")</f>
        <v>0</v>
      </c>
      <c r="Q97" s="86" t="str">
        <f t="shared" si="18"/>
        <v/>
      </c>
      <c r="R97" s="88">
        <f t="shared" si="19"/>
        <v>0</v>
      </c>
    </row>
    <row r="98" spans="1:18" ht="15" customHeight="1" x14ac:dyDescent="0.3">
      <c r="A98" s="89"/>
      <c r="B98" s="89"/>
      <c r="C98" s="89"/>
      <c r="D98" s="89"/>
      <c r="E98" s="90"/>
      <c r="F98" s="90"/>
      <c r="G98" s="82" t="str">
        <f t="shared" si="12"/>
        <v/>
      </c>
      <c r="H98" s="91"/>
      <c r="I98" s="83">
        <f>IF($A98="",0,SUMIFS(Ventas!$D$5:$D$204,Ventas!$B$5:$B$204,$A98))</f>
        <v>0</v>
      </c>
      <c r="J98" s="84">
        <f t="shared" si="13"/>
        <v>0</v>
      </c>
      <c r="K98" s="84">
        <f t="shared" si="14"/>
        <v>0</v>
      </c>
      <c r="L98" s="82">
        <f t="shared" si="15"/>
        <v>0</v>
      </c>
      <c r="M98" s="85" t="str">
        <f t="shared" si="16"/>
        <v/>
      </c>
      <c r="N98" s="86" t="str">
        <f t="shared" si="17"/>
        <v/>
      </c>
      <c r="O98" s="85" t="str">
        <f>IFERROR($H98/($I98/Instrucciones!$C$14),"")</f>
        <v/>
      </c>
      <c r="P98" s="86">
        <f>IFERROR(ROUND(($I98/Instrucciones!$C$14)*(Instrucciones!$C$15+Instrucciones!$C$16),0),"")</f>
        <v>0</v>
      </c>
      <c r="Q98" s="86" t="str">
        <f t="shared" si="18"/>
        <v/>
      </c>
      <c r="R98" s="88">
        <f t="shared" si="19"/>
        <v>0</v>
      </c>
    </row>
    <row r="99" spans="1:18" ht="15" customHeight="1" x14ac:dyDescent="0.3">
      <c r="A99" s="89"/>
      <c r="B99" s="89"/>
      <c r="C99" s="89"/>
      <c r="D99" s="89"/>
      <c r="E99" s="90"/>
      <c r="F99" s="90"/>
      <c r="G99" s="82" t="str">
        <f t="shared" si="12"/>
        <v/>
      </c>
      <c r="H99" s="91"/>
      <c r="I99" s="83">
        <f>IF($A99="",0,SUMIFS(Ventas!$D$5:$D$204,Ventas!$B$5:$B$204,$A99))</f>
        <v>0</v>
      </c>
      <c r="J99" s="84">
        <f t="shared" si="13"/>
        <v>0</v>
      </c>
      <c r="K99" s="84">
        <f t="shared" si="14"/>
        <v>0</v>
      </c>
      <c r="L99" s="82">
        <f t="shared" si="15"/>
        <v>0</v>
      </c>
      <c r="M99" s="85" t="str">
        <f t="shared" si="16"/>
        <v/>
      </c>
      <c r="N99" s="86" t="str">
        <f t="shared" si="17"/>
        <v/>
      </c>
      <c r="O99" s="85" t="str">
        <f>IFERROR($H99/($I99/Instrucciones!$C$14),"")</f>
        <v/>
      </c>
      <c r="P99" s="86">
        <f>IFERROR(ROUND(($I99/Instrucciones!$C$14)*(Instrucciones!$C$15+Instrucciones!$C$16),0),"")</f>
        <v>0</v>
      </c>
      <c r="Q99" s="86" t="str">
        <f t="shared" si="18"/>
        <v/>
      </c>
      <c r="R99" s="88">
        <f t="shared" si="19"/>
        <v>0</v>
      </c>
    </row>
    <row r="100" spans="1:18" ht="15" customHeight="1" x14ac:dyDescent="0.3">
      <c r="A100" s="89"/>
      <c r="B100" s="89"/>
      <c r="C100" s="89"/>
      <c r="D100" s="89"/>
      <c r="E100" s="90"/>
      <c r="F100" s="90"/>
      <c r="G100" s="82" t="str">
        <f t="shared" si="12"/>
        <v/>
      </c>
      <c r="H100" s="91"/>
      <c r="I100" s="83">
        <f>IF($A100="",0,SUMIFS(Ventas!$D$5:$D$204,Ventas!$B$5:$B$204,$A100))</f>
        <v>0</v>
      </c>
      <c r="J100" s="84">
        <f t="shared" si="13"/>
        <v>0</v>
      </c>
      <c r="K100" s="84">
        <f t="shared" si="14"/>
        <v>0</v>
      </c>
      <c r="L100" s="82">
        <f t="shared" si="15"/>
        <v>0</v>
      </c>
      <c r="M100" s="85" t="str">
        <f t="shared" si="16"/>
        <v/>
      </c>
      <c r="N100" s="86" t="str">
        <f t="shared" si="17"/>
        <v/>
      </c>
      <c r="O100" s="85" t="str">
        <f>IFERROR($H100/($I100/Instrucciones!$C$14),"")</f>
        <v/>
      </c>
      <c r="P100" s="86">
        <f>IFERROR(ROUND(($I100/Instrucciones!$C$14)*(Instrucciones!$C$15+Instrucciones!$C$16),0),"")</f>
        <v>0</v>
      </c>
      <c r="Q100" s="86" t="str">
        <f t="shared" si="18"/>
        <v/>
      </c>
      <c r="R100" s="88">
        <f t="shared" si="19"/>
        <v>0</v>
      </c>
    </row>
    <row r="101" spans="1:18" ht="15" customHeight="1" x14ac:dyDescent="0.3">
      <c r="A101" s="89"/>
      <c r="B101" s="89"/>
      <c r="C101" s="89"/>
      <c r="D101" s="89"/>
      <c r="E101" s="90"/>
      <c r="F101" s="90"/>
      <c r="G101" s="82" t="str">
        <f t="shared" si="12"/>
        <v/>
      </c>
      <c r="H101" s="91"/>
      <c r="I101" s="83">
        <f>IF($A101="",0,SUMIFS(Ventas!$D$5:$D$204,Ventas!$B$5:$B$204,$A101))</f>
        <v>0</v>
      </c>
      <c r="J101" s="84">
        <f t="shared" si="13"/>
        <v>0</v>
      </c>
      <c r="K101" s="84">
        <f t="shared" si="14"/>
        <v>0</v>
      </c>
      <c r="L101" s="82">
        <f t="shared" si="15"/>
        <v>0</v>
      </c>
      <c r="M101" s="85" t="str">
        <f t="shared" si="16"/>
        <v/>
      </c>
      <c r="N101" s="86" t="str">
        <f t="shared" si="17"/>
        <v/>
      </c>
      <c r="O101" s="85" t="str">
        <f>IFERROR($H101/($I101/Instrucciones!$C$14),"")</f>
        <v/>
      </c>
      <c r="P101" s="86">
        <f>IFERROR(ROUND(($I101/Instrucciones!$C$14)*(Instrucciones!$C$15+Instrucciones!$C$16),0),"")</f>
        <v>0</v>
      </c>
      <c r="Q101" s="86" t="str">
        <f t="shared" si="18"/>
        <v/>
      </c>
      <c r="R101" s="88">
        <f t="shared" si="19"/>
        <v>0</v>
      </c>
    </row>
    <row r="102" spans="1:18" ht="15" customHeight="1" x14ac:dyDescent="0.3">
      <c r="A102" s="89"/>
      <c r="B102" s="89"/>
      <c r="C102" s="89"/>
      <c r="D102" s="89"/>
      <c r="E102" s="90"/>
      <c r="F102" s="90"/>
      <c r="G102" s="82" t="str">
        <f t="shared" si="12"/>
        <v/>
      </c>
      <c r="H102" s="91"/>
      <c r="I102" s="83">
        <f>IF($A102="",0,SUMIFS(Ventas!$D$5:$D$204,Ventas!$B$5:$B$204,$A102))</f>
        <v>0</v>
      </c>
      <c r="J102" s="84">
        <f t="shared" si="13"/>
        <v>0</v>
      </c>
      <c r="K102" s="84">
        <f t="shared" si="14"/>
        <v>0</v>
      </c>
      <c r="L102" s="82">
        <f t="shared" si="15"/>
        <v>0</v>
      </c>
      <c r="M102" s="85" t="str">
        <f t="shared" si="16"/>
        <v/>
      </c>
      <c r="N102" s="86" t="str">
        <f t="shared" si="17"/>
        <v/>
      </c>
      <c r="O102" s="85" t="str">
        <f>IFERROR($H102/($I102/Instrucciones!$C$14),"")</f>
        <v/>
      </c>
      <c r="P102" s="86">
        <f>IFERROR(ROUND(($I102/Instrucciones!$C$14)*(Instrucciones!$C$15+Instrucciones!$C$16),0),"")</f>
        <v>0</v>
      </c>
      <c r="Q102" s="86" t="str">
        <f t="shared" si="18"/>
        <v/>
      </c>
      <c r="R102" s="88">
        <f t="shared" si="19"/>
        <v>0</v>
      </c>
    </row>
    <row r="103" spans="1:18" ht="15" customHeight="1" x14ac:dyDescent="0.3">
      <c r="A103" s="89"/>
      <c r="B103" s="89"/>
      <c r="C103" s="89"/>
      <c r="D103" s="89"/>
      <c r="E103" s="90"/>
      <c r="F103" s="90"/>
      <c r="G103" s="82" t="str">
        <f t="shared" si="12"/>
        <v/>
      </c>
      <c r="H103" s="91"/>
      <c r="I103" s="83">
        <f>IF($A103="",0,SUMIFS(Ventas!$D$5:$D$204,Ventas!$B$5:$B$204,$A103))</f>
        <v>0</v>
      </c>
      <c r="J103" s="84">
        <f t="shared" si="13"/>
        <v>0</v>
      </c>
      <c r="K103" s="84">
        <f t="shared" si="14"/>
        <v>0</v>
      </c>
      <c r="L103" s="82">
        <f t="shared" si="15"/>
        <v>0</v>
      </c>
      <c r="M103" s="85" t="str">
        <f t="shared" si="16"/>
        <v/>
      </c>
      <c r="N103" s="86" t="str">
        <f t="shared" si="17"/>
        <v/>
      </c>
      <c r="O103" s="85" t="str">
        <f>IFERROR($H103/($I103/Instrucciones!$C$14),"")</f>
        <v/>
      </c>
      <c r="P103" s="86">
        <f>IFERROR(ROUND(($I103/Instrucciones!$C$14)*(Instrucciones!$C$15+Instrucciones!$C$16),0),"")</f>
        <v>0</v>
      </c>
      <c r="Q103" s="86" t="str">
        <f t="shared" si="18"/>
        <v/>
      </c>
      <c r="R103" s="88">
        <f t="shared" si="19"/>
        <v>0</v>
      </c>
    </row>
    <row r="104" spans="1:18" ht="15" customHeight="1" x14ac:dyDescent="0.3">
      <c r="A104" s="89" t="s">
        <v>134</v>
      </c>
      <c r="B104" s="89" t="s">
        <v>135</v>
      </c>
      <c r="C104" s="89" t="s">
        <v>133</v>
      </c>
      <c r="D104" s="89" t="s">
        <v>48</v>
      </c>
      <c r="E104" s="90">
        <v>62000</v>
      </c>
      <c r="F104" s="90">
        <v>129000</v>
      </c>
      <c r="G104" s="82">
        <f t="shared" si="8"/>
        <v>0.51937984496124034</v>
      </c>
      <c r="H104" s="91">
        <v>6</v>
      </c>
      <c r="I104" s="83">
        <f>IF($A104="",0,SUMIFS(Ventas!$D$5:$D$204,Ventas!$B$5:$B$204,$A104))</f>
        <v>0</v>
      </c>
      <c r="J104" s="84">
        <f t="shared" si="9"/>
        <v>0</v>
      </c>
      <c r="K104" s="84">
        <f t="shared" si="10"/>
        <v>0</v>
      </c>
      <c r="L104" s="82">
        <f t="shared" si="3"/>
        <v>0</v>
      </c>
      <c r="M104" s="85">
        <f t="shared" si="4"/>
        <v>38</v>
      </c>
      <c r="N104" s="86" t="str">
        <f t="shared" si="5"/>
        <v>C</v>
      </c>
      <c r="O104" s="85" t="str">
        <f>IFERROR($H104/($I104/Instrucciones!$C$14),"")</f>
        <v/>
      </c>
      <c r="P104" s="86">
        <f>IFERROR(ROUND(($I104/Instrucciones!$C$14)*(Instrucciones!$C$15+Instrucciones!$C$16),0),"")</f>
        <v>0</v>
      </c>
      <c r="Q104" s="86" t="str">
        <f t="shared" si="7"/>
        <v>SIN ROTACIÓN</v>
      </c>
      <c r="R104" s="88">
        <f t="shared" si="11"/>
        <v>0</v>
      </c>
    </row>
    <row r="106" spans="1:18" ht="19.350000000000001" customHeight="1" x14ac:dyDescent="0.3">
      <c r="A106" s="140"/>
      <c r="B106" s="99"/>
      <c r="C106" s="99"/>
      <c r="D106" s="99"/>
      <c r="E106" s="99"/>
      <c r="F106" s="99"/>
      <c r="G106" s="99"/>
      <c r="H106" s="99"/>
      <c r="I106" s="99"/>
      <c r="J106" s="99"/>
    </row>
  </sheetData>
  <sheetProtection sheet="1" objects="1" scenarios="1"/>
  <mergeCells count="3">
    <mergeCell ref="A2:Q2"/>
    <mergeCell ref="A1:Q1"/>
    <mergeCell ref="A106:J106"/>
  </mergeCells>
  <conditionalFormatting sqref="Q4">
    <cfRule type="cellIs" dxfId="4" priority="5" operator="equal">
      <formula>$Q$14</formula>
    </cfRule>
    <cfRule type="cellIs" dxfId="3" priority="6" operator="equal">
      <formula>$Q$5</formula>
    </cfRule>
  </conditionalFormatting>
  <conditionalFormatting sqref="Q5:Q104">
    <cfRule type="cellIs" dxfId="2" priority="1" operator="equal">
      <formula>$Q$5</formula>
    </cfRule>
    <cfRule type="cellIs" dxfId="1" priority="2" operator="equal">
      <formula>$Q$19</formula>
    </cfRule>
    <cfRule type="cellIs" dxfId="0" priority="3" operator="equal">
      <formula>$Q$13</formula>
    </cfRule>
  </conditionalFormatting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4"/>
  <sheetViews>
    <sheetView showGridLines="0" zoomScaleNormal="100" workbookViewId="0">
      <pane ySplit="4" topLeftCell="A193" activePane="bottomLeft" state="frozen"/>
      <selection pane="bottomLeft" activeCell="A13" sqref="A13"/>
    </sheetView>
  </sheetViews>
  <sheetFormatPr baseColWidth="10" defaultColWidth="8.6640625" defaultRowHeight="14.4" x14ac:dyDescent="0.3"/>
  <cols>
    <col min="1" max="2" width="12" style="2" customWidth="1"/>
    <col min="3" max="3" width="32" style="2" customWidth="1"/>
    <col min="4" max="4" width="10" style="2" customWidth="1"/>
    <col min="5" max="8" width="14" style="2" customWidth="1"/>
    <col min="9" max="16384" width="8.6640625" style="2"/>
  </cols>
  <sheetData>
    <row r="1" spans="1:8" ht="30" customHeight="1" x14ac:dyDescent="0.3">
      <c r="A1" s="132" t="s">
        <v>136</v>
      </c>
      <c r="B1" s="133"/>
      <c r="C1" s="133"/>
      <c r="D1" s="133"/>
      <c r="E1" s="133"/>
      <c r="F1" s="133"/>
      <c r="G1" s="133"/>
      <c r="H1" s="133"/>
    </row>
    <row r="2" spans="1:8" ht="18" customHeight="1" x14ac:dyDescent="0.3">
      <c r="A2" s="141" t="s">
        <v>224</v>
      </c>
      <c r="B2" s="142"/>
      <c r="C2" s="142"/>
      <c r="D2" s="142"/>
      <c r="E2" s="142"/>
      <c r="F2" s="142"/>
      <c r="G2" s="142"/>
      <c r="H2" s="142"/>
    </row>
    <row r="4" spans="1:8" ht="30" customHeight="1" x14ac:dyDescent="0.3">
      <c r="A4" s="34" t="s">
        <v>137</v>
      </c>
      <c r="B4" s="34" t="s">
        <v>16</v>
      </c>
      <c r="C4" s="34" t="s">
        <v>17</v>
      </c>
      <c r="D4" s="34" t="s">
        <v>138</v>
      </c>
      <c r="E4" s="34" t="s">
        <v>139</v>
      </c>
      <c r="F4" s="34" t="s">
        <v>140</v>
      </c>
      <c r="G4" s="34" t="s">
        <v>141</v>
      </c>
      <c r="H4" s="34" t="s">
        <v>142</v>
      </c>
    </row>
    <row r="5" spans="1:8" ht="15" customHeight="1" x14ac:dyDescent="0.3">
      <c r="A5" s="94">
        <v>46204</v>
      </c>
      <c r="B5" s="89" t="s">
        <v>33</v>
      </c>
      <c r="C5" s="92" t="str">
        <f>IFERROR(INDEX(Inventario!$B$5:$B$104,MATCH($B5,Inventario!$A$5:$A$104,0)),"")</f>
        <v>Tornillo autoperforante 8x1" (unidad)</v>
      </c>
      <c r="D5" s="91">
        <v>29</v>
      </c>
      <c r="E5" s="93">
        <f>IFERROR(INDEX(Inventario!$F$5:$F$104,MATCH($B5,Inventario!$A$5:$A$104,0)),"")</f>
        <v>450</v>
      </c>
      <c r="F5" s="93">
        <f t="shared" ref="F5:F68" si="0">IFERROR($D5*$E5,"")</f>
        <v>13050</v>
      </c>
      <c r="G5" s="93">
        <f>IFERROR($D5*INDEX(Inventario!$E$5:$E$104,MATCH($B5,Inventario!$A$5:$A$104,0)),"")</f>
        <v>5220</v>
      </c>
      <c r="H5" s="93">
        <f t="shared" ref="H5:H68" si="1">IFERROR($F5-$G5,"")</f>
        <v>7830</v>
      </c>
    </row>
    <row r="6" spans="1:8" ht="15" customHeight="1" x14ac:dyDescent="0.3">
      <c r="A6" s="94">
        <v>46204</v>
      </c>
      <c r="B6" s="89" t="s">
        <v>37</v>
      </c>
      <c r="C6" s="92" t="str">
        <f>IFERROR(INDEX(Inventario!$B$5:$B$104,MATCH($B6,Inventario!$A$5:$A$104,0)),"")</f>
        <v>Tornillo drywall 6x1 1/4" (unidad)</v>
      </c>
      <c r="D6" s="91">
        <v>33</v>
      </c>
      <c r="E6" s="93">
        <f>IFERROR(INDEX(Inventario!$F$5:$F$104,MATCH($B6,Inventario!$A$5:$A$104,0)),"")</f>
        <v>360</v>
      </c>
      <c r="F6" s="93">
        <f t="shared" si="0"/>
        <v>11880</v>
      </c>
      <c r="G6" s="93">
        <f>IFERROR($D6*INDEX(Inventario!$E$5:$E$104,MATCH($B6,Inventario!$A$5:$A$104,0)),"")</f>
        <v>4620</v>
      </c>
      <c r="H6" s="93">
        <f t="shared" si="1"/>
        <v>7260</v>
      </c>
    </row>
    <row r="7" spans="1:8" ht="15" customHeight="1" x14ac:dyDescent="0.3">
      <c r="A7" s="94">
        <v>46204</v>
      </c>
      <c r="B7" s="89" t="s">
        <v>40</v>
      </c>
      <c r="C7" s="92" t="str">
        <f>IFERROR(INDEX(Inventario!$B$5:$B$104,MATCH($B7,Inventario!$A$5:$A$104,0)),"")</f>
        <v>Chazo plástico 3/8" (unidad)</v>
      </c>
      <c r="D7" s="91">
        <v>10</v>
      </c>
      <c r="E7" s="93">
        <f>IFERROR(INDEX(Inventario!$F$5:$F$104,MATCH($B7,Inventario!$A$5:$A$104,0)),"")</f>
        <v>320</v>
      </c>
      <c r="F7" s="93">
        <f t="shared" si="0"/>
        <v>3200</v>
      </c>
      <c r="G7" s="93">
        <f>IFERROR($D7*INDEX(Inventario!$E$5:$E$104,MATCH($B7,Inventario!$A$5:$A$104,0)),"")</f>
        <v>1200</v>
      </c>
      <c r="H7" s="93">
        <f t="shared" si="1"/>
        <v>2000</v>
      </c>
    </row>
    <row r="8" spans="1:8" ht="15" customHeight="1" x14ac:dyDescent="0.3">
      <c r="A8" s="94">
        <v>46204</v>
      </c>
      <c r="B8" s="89" t="s">
        <v>43</v>
      </c>
      <c r="C8" s="92" t="str">
        <f>IFERROR(INDEX(Inventario!$B$5:$B$104,MATCH($B8,Inventario!$A$5:$A$104,0)),"")</f>
        <v>Puntilla 2" libra</v>
      </c>
      <c r="D8" s="91">
        <v>5</v>
      </c>
      <c r="E8" s="93">
        <f>IFERROR(INDEX(Inventario!$F$5:$F$104,MATCH($B8,Inventario!$A$5:$A$104,0)),"")</f>
        <v>7800</v>
      </c>
      <c r="F8" s="93">
        <f t="shared" si="0"/>
        <v>39000</v>
      </c>
      <c r="G8" s="93">
        <f>IFERROR($D8*INDEX(Inventario!$E$5:$E$104,MATCH($B8,Inventario!$A$5:$A$104,0)),"")</f>
        <v>16000</v>
      </c>
      <c r="H8" s="93">
        <f t="shared" si="1"/>
        <v>23000</v>
      </c>
    </row>
    <row r="9" spans="1:8" ht="15" customHeight="1" x14ac:dyDescent="0.3">
      <c r="A9" s="94">
        <v>46204</v>
      </c>
      <c r="B9" s="89" t="s">
        <v>46</v>
      </c>
      <c r="C9" s="92" t="str">
        <f>IFERROR(INDEX(Inventario!$B$5:$B$104,MATCH($B9,Inventario!$A$5:$A$104,0)),"")</f>
        <v>Tuerca hexagonal 1/4" (unidad)</v>
      </c>
      <c r="D9" s="91">
        <v>5</v>
      </c>
      <c r="E9" s="93">
        <f>IFERROR(INDEX(Inventario!$F$5:$F$104,MATCH($B9,Inventario!$A$5:$A$104,0)),"")</f>
        <v>520</v>
      </c>
      <c r="F9" s="93">
        <f t="shared" si="0"/>
        <v>2600</v>
      </c>
      <c r="G9" s="93">
        <f>IFERROR($D9*INDEX(Inventario!$E$5:$E$104,MATCH($B9,Inventario!$A$5:$A$104,0)),"")</f>
        <v>1050</v>
      </c>
      <c r="H9" s="93">
        <f t="shared" si="1"/>
        <v>1550</v>
      </c>
    </row>
    <row r="10" spans="1:8" ht="15" customHeight="1" x14ac:dyDescent="0.3">
      <c r="A10" s="94">
        <v>46204</v>
      </c>
      <c r="B10" s="89" t="s">
        <v>52</v>
      </c>
      <c r="C10" s="92" t="str">
        <f>IFERROR(INDEX(Inventario!$B$5:$B$104,MATCH($B10,Inventario!$A$5:$A$104,0)),"")</f>
        <v>Destornillador estrella #2</v>
      </c>
      <c r="D10" s="91">
        <v>1</v>
      </c>
      <c r="E10" s="93">
        <f>IFERROR(INDEX(Inventario!$F$5:$F$104,MATCH($B10,Inventario!$A$5:$A$104,0)),"")</f>
        <v>15900</v>
      </c>
      <c r="F10" s="93">
        <f t="shared" si="0"/>
        <v>15900</v>
      </c>
      <c r="G10" s="93">
        <f>IFERROR($D10*INDEX(Inventario!$E$5:$E$104,MATCH($B10,Inventario!$A$5:$A$104,0)),"")</f>
        <v>6200</v>
      </c>
      <c r="H10" s="93">
        <f t="shared" si="1"/>
        <v>9700</v>
      </c>
    </row>
    <row r="11" spans="1:8" ht="15" customHeight="1" x14ac:dyDescent="0.3">
      <c r="A11" s="94">
        <v>46204</v>
      </c>
      <c r="B11" s="89" t="s">
        <v>71</v>
      </c>
      <c r="C11" s="92" t="str">
        <f>IFERROR(INDEX(Inventario!$B$5:$B$104,MATCH($B11,Inventario!$A$5:$A$104,0)),"")</f>
        <v>Rodillo felpa 9" con mango</v>
      </c>
      <c r="D11" s="91">
        <v>1</v>
      </c>
      <c r="E11" s="93">
        <f>IFERROR(INDEX(Inventario!$F$5:$F$104,MATCH($B11,Inventario!$A$5:$A$104,0)),"")</f>
        <v>23000</v>
      </c>
      <c r="F11" s="93">
        <f t="shared" si="0"/>
        <v>23000</v>
      </c>
      <c r="G11" s="93">
        <f>IFERROR($D11*INDEX(Inventario!$E$5:$E$104,MATCH($B11,Inventario!$A$5:$A$104,0)),"")</f>
        <v>9200</v>
      </c>
      <c r="H11" s="93">
        <f t="shared" si="1"/>
        <v>13800</v>
      </c>
    </row>
    <row r="12" spans="1:8" ht="15" customHeight="1" x14ac:dyDescent="0.3">
      <c r="A12" s="94">
        <v>46204</v>
      </c>
      <c r="B12" s="89" t="s">
        <v>73</v>
      </c>
      <c r="C12" s="92" t="str">
        <f>IFERROR(INDEX(Inventario!$B$5:$B$104,MATCH($B12,Inventario!$A$5:$A$104,0)),"")</f>
        <v>Lija agua #150 (pliego)</v>
      </c>
      <c r="D12" s="91">
        <v>3</v>
      </c>
      <c r="E12" s="93">
        <f>IFERROR(INDEX(Inventario!$F$5:$F$104,MATCH($B12,Inventario!$A$5:$A$104,0)),"")</f>
        <v>2500</v>
      </c>
      <c r="F12" s="93">
        <f t="shared" si="0"/>
        <v>7500</v>
      </c>
      <c r="G12" s="93">
        <f>IFERROR($D12*INDEX(Inventario!$E$5:$E$104,MATCH($B12,Inventario!$A$5:$A$104,0)),"")</f>
        <v>2700</v>
      </c>
      <c r="H12" s="93">
        <f t="shared" si="1"/>
        <v>4800</v>
      </c>
    </row>
    <row r="13" spans="1:8" ht="15" customHeight="1" x14ac:dyDescent="0.3">
      <c r="A13" s="94">
        <v>46204</v>
      </c>
      <c r="B13" s="89" t="s">
        <v>75</v>
      </c>
      <c r="C13" s="92" t="str">
        <f>IFERROR(INDEX(Inventario!$B$5:$B$104,MATCH($B13,Inventario!$A$5:$A$104,0)),"")</f>
        <v>Thinner corriente litro</v>
      </c>
      <c r="D13" s="91">
        <v>1</v>
      </c>
      <c r="E13" s="93">
        <f>IFERROR(INDEX(Inventario!$F$5:$F$104,MATCH($B13,Inventario!$A$5:$A$104,0)),"")</f>
        <v>16800</v>
      </c>
      <c r="F13" s="93">
        <f t="shared" si="0"/>
        <v>16800</v>
      </c>
      <c r="G13" s="93">
        <f>IFERROR($D13*INDEX(Inventario!$E$5:$E$104,MATCH($B13,Inventario!$A$5:$A$104,0)),"")</f>
        <v>7400</v>
      </c>
      <c r="H13" s="93">
        <f t="shared" si="1"/>
        <v>9400</v>
      </c>
    </row>
    <row r="14" spans="1:8" ht="15" customHeight="1" x14ac:dyDescent="0.3">
      <c r="A14" s="94">
        <v>46204</v>
      </c>
      <c r="B14" s="89" t="s">
        <v>77</v>
      </c>
      <c r="C14" s="92" t="str">
        <f>IFERROR(INDEX(Inventario!$B$5:$B$104,MATCH($B14,Inventario!$A$5:$A$104,0)),"")</f>
        <v>Cable dúplex 2x14 (metro)</v>
      </c>
      <c r="D14" s="91">
        <v>14</v>
      </c>
      <c r="E14" s="93">
        <f>IFERROR(INDEX(Inventario!$F$5:$F$104,MATCH($B14,Inventario!$A$5:$A$104,0)),"")</f>
        <v>5900</v>
      </c>
      <c r="F14" s="93">
        <f t="shared" si="0"/>
        <v>82600</v>
      </c>
      <c r="G14" s="93">
        <f>IFERROR($D14*INDEX(Inventario!$E$5:$E$104,MATCH($B14,Inventario!$A$5:$A$104,0)),"")</f>
        <v>33600</v>
      </c>
      <c r="H14" s="93">
        <f t="shared" si="1"/>
        <v>49000</v>
      </c>
    </row>
    <row r="15" spans="1:8" ht="15" customHeight="1" x14ac:dyDescent="0.3">
      <c r="A15" s="94">
        <v>46204</v>
      </c>
      <c r="B15" s="89" t="s">
        <v>84</v>
      </c>
      <c r="C15" s="92" t="str">
        <f>IFERROR(INDEX(Inventario!$B$5:$B$104,MATCH($B15,Inventario!$A$5:$A$104,0)),"")</f>
        <v>Bombillo LED 9 W</v>
      </c>
      <c r="D15" s="91">
        <v>6</v>
      </c>
      <c r="E15" s="93">
        <f>IFERROR(INDEX(Inventario!$F$5:$F$104,MATCH($B15,Inventario!$A$5:$A$104,0)),"")</f>
        <v>12900</v>
      </c>
      <c r="F15" s="93">
        <f t="shared" si="0"/>
        <v>77400</v>
      </c>
      <c r="G15" s="93">
        <f>IFERROR($D15*INDEX(Inventario!$E$5:$E$104,MATCH($B15,Inventario!$A$5:$A$104,0)),"")</f>
        <v>29400</v>
      </c>
      <c r="H15" s="93">
        <f t="shared" si="1"/>
        <v>48000</v>
      </c>
    </row>
    <row r="16" spans="1:8" ht="15" customHeight="1" x14ac:dyDescent="0.3">
      <c r="A16" s="94">
        <v>46204</v>
      </c>
      <c r="B16" s="89" t="s">
        <v>95</v>
      </c>
      <c r="C16" s="92" t="str">
        <f>IFERROR(INDEX(Inventario!$B$5:$B$104,MATCH($B16,Inventario!$A$5:$A$104,0)),"")</f>
        <v>Teflón 1/2" rollo</v>
      </c>
      <c r="D16" s="91">
        <v>1</v>
      </c>
      <c r="E16" s="93">
        <f>IFERROR(INDEX(Inventario!$F$5:$F$104,MATCH($B16,Inventario!$A$5:$A$104,0)),"")</f>
        <v>2600</v>
      </c>
      <c r="F16" s="93">
        <f t="shared" si="0"/>
        <v>2600</v>
      </c>
      <c r="G16" s="93">
        <f>IFERROR($D16*INDEX(Inventario!$E$5:$E$104,MATCH($B16,Inventario!$A$5:$A$104,0)),"")</f>
        <v>900</v>
      </c>
      <c r="H16" s="93">
        <f t="shared" si="1"/>
        <v>1700</v>
      </c>
    </row>
    <row r="17" spans="1:8" ht="15" customHeight="1" x14ac:dyDescent="0.3">
      <c r="A17" s="94">
        <v>46204</v>
      </c>
      <c r="B17" s="89" t="s">
        <v>101</v>
      </c>
      <c r="C17" s="92" t="str">
        <f>IFERROR(INDEX(Inventario!$B$5:$B$104,MATCH($B17,Inventario!$A$5:$A$104,0)),"")</f>
        <v>Resma papel carta 75 g</v>
      </c>
      <c r="D17" s="91">
        <v>5</v>
      </c>
      <c r="E17" s="93">
        <f>IFERROR(INDEX(Inventario!$F$5:$F$104,MATCH($B17,Inventario!$A$5:$A$104,0)),"")</f>
        <v>22900</v>
      </c>
      <c r="F17" s="93">
        <f t="shared" si="0"/>
        <v>114500</v>
      </c>
      <c r="G17" s="93">
        <f>IFERROR($D17*INDEX(Inventario!$E$5:$E$104,MATCH($B17,Inventario!$A$5:$A$104,0)),"")</f>
        <v>69000</v>
      </c>
      <c r="H17" s="93">
        <f t="shared" si="1"/>
        <v>45500</v>
      </c>
    </row>
    <row r="18" spans="1:8" ht="15" customHeight="1" x14ac:dyDescent="0.3">
      <c r="A18" s="94">
        <v>46204</v>
      </c>
      <c r="B18" s="89" t="s">
        <v>104</v>
      </c>
      <c r="C18" s="92" t="str">
        <f>IFERROR(INDEX(Inventario!$B$5:$B$104,MATCH($B18,Inventario!$A$5:$A$104,0)),"")</f>
        <v>Resma papel oficio 75 g</v>
      </c>
      <c r="D18" s="91">
        <v>1</v>
      </c>
      <c r="E18" s="93">
        <f>IFERROR(INDEX(Inventario!$F$5:$F$104,MATCH($B18,Inventario!$A$5:$A$104,0)),"")</f>
        <v>25900</v>
      </c>
      <c r="F18" s="93">
        <f t="shared" si="0"/>
        <v>25900</v>
      </c>
      <c r="G18" s="93">
        <f>IFERROR($D18*INDEX(Inventario!$E$5:$E$104,MATCH($B18,Inventario!$A$5:$A$104,0)),"")</f>
        <v>15200</v>
      </c>
      <c r="H18" s="93">
        <f t="shared" si="1"/>
        <v>10700</v>
      </c>
    </row>
    <row r="19" spans="1:8" ht="15" customHeight="1" x14ac:dyDescent="0.3">
      <c r="A19" s="94">
        <v>46204</v>
      </c>
      <c r="B19" s="89" t="s">
        <v>108</v>
      </c>
      <c r="C19" s="92" t="str">
        <f>IFERROR(INDEX(Inventario!$B$5:$B$104,MATCH($B19,Inventario!$A$5:$A$104,0)),"")</f>
        <v>Lapicero tinta negra (unidad)</v>
      </c>
      <c r="D19" s="91">
        <v>8</v>
      </c>
      <c r="E19" s="93">
        <f>IFERROR(INDEX(Inventario!$F$5:$F$104,MATCH($B19,Inventario!$A$5:$A$104,0)),"")</f>
        <v>1800</v>
      </c>
      <c r="F19" s="93">
        <f t="shared" si="0"/>
        <v>14400</v>
      </c>
      <c r="G19" s="93">
        <f>IFERROR($D19*INDEX(Inventario!$E$5:$E$104,MATCH($B19,Inventario!$A$5:$A$104,0)),"")</f>
        <v>4800</v>
      </c>
      <c r="H19" s="93">
        <f t="shared" si="1"/>
        <v>9600</v>
      </c>
    </row>
    <row r="20" spans="1:8" ht="15" customHeight="1" x14ac:dyDescent="0.3">
      <c r="A20" s="94">
        <v>46204</v>
      </c>
      <c r="B20" s="89" t="s">
        <v>112</v>
      </c>
      <c r="C20" s="92" t="str">
        <f>IFERROR(INDEX(Inventario!$B$5:$B$104,MATCH($B20,Inventario!$A$5:$A$104,0)),"")</f>
        <v>Carpeta legajadora (unidad)</v>
      </c>
      <c r="D20" s="91">
        <v>5</v>
      </c>
      <c r="E20" s="93">
        <f>IFERROR(INDEX(Inventario!$F$5:$F$104,MATCH($B20,Inventario!$A$5:$A$104,0)),"")</f>
        <v>2200</v>
      </c>
      <c r="F20" s="93">
        <f t="shared" si="0"/>
        <v>11000</v>
      </c>
      <c r="G20" s="93">
        <f>IFERROR($D20*INDEX(Inventario!$E$5:$E$104,MATCH($B20,Inventario!$A$5:$A$104,0)),"")</f>
        <v>3500</v>
      </c>
      <c r="H20" s="93">
        <f t="shared" si="1"/>
        <v>7500</v>
      </c>
    </row>
    <row r="21" spans="1:8" ht="15" customHeight="1" x14ac:dyDescent="0.3">
      <c r="A21" s="94">
        <v>46204</v>
      </c>
      <c r="B21" s="89" t="s">
        <v>127</v>
      </c>
      <c r="C21" s="92" t="str">
        <f>IFERROR(INDEX(Inventario!$B$5:$B$104,MATCH($B21,Inventario!$A$5:$A$104,0)),"")</f>
        <v>Bolsa basura 55x60 x10 und</v>
      </c>
      <c r="D21" s="91">
        <v>1</v>
      </c>
      <c r="E21" s="93">
        <f>IFERROR(INDEX(Inventario!$F$5:$F$104,MATCH($B21,Inventario!$A$5:$A$104,0)),"")</f>
        <v>7200</v>
      </c>
      <c r="F21" s="93">
        <f t="shared" si="0"/>
        <v>7200</v>
      </c>
      <c r="G21" s="93">
        <f>IFERROR($D21*INDEX(Inventario!$E$5:$E$104,MATCH($B21,Inventario!$A$5:$A$104,0)),"")</f>
        <v>2900</v>
      </c>
      <c r="H21" s="93">
        <f t="shared" si="1"/>
        <v>4300</v>
      </c>
    </row>
    <row r="22" spans="1:8" ht="15" customHeight="1" x14ac:dyDescent="0.3">
      <c r="A22" s="94">
        <v>46205</v>
      </c>
      <c r="B22" s="89" t="s">
        <v>37</v>
      </c>
      <c r="C22" s="92" t="str">
        <f>IFERROR(INDEX(Inventario!$B$5:$B$104,MATCH($B22,Inventario!$A$5:$A$104,0)),"")</f>
        <v>Tornillo drywall 6x1 1/4" (unidad)</v>
      </c>
      <c r="D22" s="91">
        <v>29</v>
      </c>
      <c r="E22" s="93">
        <f>IFERROR(INDEX(Inventario!$F$5:$F$104,MATCH($B22,Inventario!$A$5:$A$104,0)),"")</f>
        <v>360</v>
      </c>
      <c r="F22" s="93">
        <f t="shared" si="0"/>
        <v>10440</v>
      </c>
      <c r="G22" s="93">
        <f>IFERROR($D22*INDEX(Inventario!$E$5:$E$104,MATCH($B22,Inventario!$A$5:$A$104,0)),"")</f>
        <v>4060</v>
      </c>
      <c r="H22" s="93">
        <f t="shared" si="1"/>
        <v>6380</v>
      </c>
    </row>
    <row r="23" spans="1:8" ht="15" customHeight="1" x14ac:dyDescent="0.3">
      <c r="A23" s="94">
        <v>46205</v>
      </c>
      <c r="B23" s="89" t="s">
        <v>40</v>
      </c>
      <c r="C23" s="92" t="str">
        <f>IFERROR(INDEX(Inventario!$B$5:$B$104,MATCH($B23,Inventario!$A$5:$A$104,0)),"")</f>
        <v>Chazo plástico 3/8" (unidad)</v>
      </c>
      <c r="D23" s="91">
        <v>26</v>
      </c>
      <c r="E23" s="93">
        <f>IFERROR(INDEX(Inventario!$F$5:$F$104,MATCH($B23,Inventario!$A$5:$A$104,0)),"")</f>
        <v>320</v>
      </c>
      <c r="F23" s="93">
        <f t="shared" si="0"/>
        <v>8320</v>
      </c>
      <c r="G23" s="93">
        <f>IFERROR($D23*INDEX(Inventario!$E$5:$E$104,MATCH($B23,Inventario!$A$5:$A$104,0)),"")</f>
        <v>3120</v>
      </c>
      <c r="H23" s="93">
        <f t="shared" si="1"/>
        <v>5200</v>
      </c>
    </row>
    <row r="24" spans="1:8" ht="15" customHeight="1" x14ac:dyDescent="0.3">
      <c r="A24" s="94">
        <v>46205</v>
      </c>
      <c r="B24" s="89" t="s">
        <v>46</v>
      </c>
      <c r="C24" s="92" t="str">
        <f>IFERROR(INDEX(Inventario!$B$5:$B$104,MATCH($B24,Inventario!$A$5:$A$104,0)),"")</f>
        <v>Tuerca hexagonal 1/4" (unidad)</v>
      </c>
      <c r="D24" s="91">
        <v>8</v>
      </c>
      <c r="E24" s="93">
        <f>IFERROR(INDEX(Inventario!$F$5:$F$104,MATCH($B24,Inventario!$A$5:$A$104,0)),"")</f>
        <v>520</v>
      </c>
      <c r="F24" s="93">
        <f t="shared" si="0"/>
        <v>4160</v>
      </c>
      <c r="G24" s="93">
        <f>IFERROR($D24*INDEX(Inventario!$E$5:$E$104,MATCH($B24,Inventario!$A$5:$A$104,0)),"")</f>
        <v>1680</v>
      </c>
      <c r="H24" s="93">
        <f t="shared" si="1"/>
        <v>2480</v>
      </c>
    </row>
    <row r="25" spans="1:8" ht="15" customHeight="1" x14ac:dyDescent="0.3">
      <c r="A25" s="94">
        <v>46205</v>
      </c>
      <c r="B25" s="89" t="s">
        <v>65</v>
      </c>
      <c r="C25" s="92" t="str">
        <f>IFERROR(INDEX(Inventario!$B$5:$B$104,MATCH($B25,Inventario!$A$5:$A$104,0)),"")</f>
        <v>Pintura vinilo tipo 1 galón colores</v>
      </c>
      <c r="D25" s="91">
        <v>1</v>
      </c>
      <c r="E25" s="93">
        <f>IFERROR(INDEX(Inventario!$F$5:$F$104,MATCH($B25,Inventario!$A$5:$A$104,0)),"")</f>
        <v>86000</v>
      </c>
      <c r="F25" s="93">
        <f t="shared" si="0"/>
        <v>86000</v>
      </c>
      <c r="G25" s="93">
        <f>IFERROR($D25*INDEX(Inventario!$E$5:$E$104,MATCH($B25,Inventario!$A$5:$A$104,0)),"")</f>
        <v>41000</v>
      </c>
      <c r="H25" s="93">
        <f t="shared" si="1"/>
        <v>45000</v>
      </c>
    </row>
    <row r="26" spans="1:8" ht="15" customHeight="1" x14ac:dyDescent="0.3">
      <c r="A26" s="94">
        <v>46205</v>
      </c>
      <c r="B26" s="89" t="s">
        <v>73</v>
      </c>
      <c r="C26" s="92" t="str">
        <f>IFERROR(INDEX(Inventario!$B$5:$B$104,MATCH($B26,Inventario!$A$5:$A$104,0)),"")</f>
        <v>Lija agua #150 (pliego)</v>
      </c>
      <c r="D26" s="91">
        <v>7</v>
      </c>
      <c r="E26" s="93">
        <f>IFERROR(INDEX(Inventario!$F$5:$F$104,MATCH($B26,Inventario!$A$5:$A$104,0)),"")</f>
        <v>2500</v>
      </c>
      <c r="F26" s="93">
        <f t="shared" si="0"/>
        <v>17500</v>
      </c>
      <c r="G26" s="93">
        <f>IFERROR($D26*INDEX(Inventario!$E$5:$E$104,MATCH($B26,Inventario!$A$5:$A$104,0)),"")</f>
        <v>6300</v>
      </c>
      <c r="H26" s="93">
        <f t="shared" si="1"/>
        <v>11200</v>
      </c>
    </row>
    <row r="27" spans="1:8" ht="15" customHeight="1" x14ac:dyDescent="0.3">
      <c r="A27" s="94">
        <v>46205</v>
      </c>
      <c r="B27" s="89" t="s">
        <v>77</v>
      </c>
      <c r="C27" s="92" t="str">
        <f>IFERROR(INDEX(Inventario!$B$5:$B$104,MATCH($B27,Inventario!$A$5:$A$104,0)),"")</f>
        <v>Cable dúplex 2x14 (metro)</v>
      </c>
      <c r="D27" s="91">
        <v>4</v>
      </c>
      <c r="E27" s="93">
        <f>IFERROR(INDEX(Inventario!$F$5:$F$104,MATCH($B27,Inventario!$A$5:$A$104,0)),"")</f>
        <v>5900</v>
      </c>
      <c r="F27" s="93">
        <f t="shared" si="0"/>
        <v>23600</v>
      </c>
      <c r="G27" s="93">
        <f>IFERROR($D27*INDEX(Inventario!$E$5:$E$104,MATCH($B27,Inventario!$A$5:$A$104,0)),"")</f>
        <v>9600</v>
      </c>
      <c r="H27" s="93">
        <f t="shared" si="1"/>
        <v>14000</v>
      </c>
    </row>
    <row r="28" spans="1:8" ht="15" customHeight="1" x14ac:dyDescent="0.3">
      <c r="A28" s="94">
        <v>46205</v>
      </c>
      <c r="B28" s="89" t="s">
        <v>82</v>
      </c>
      <c r="C28" s="92" t="str">
        <f>IFERROR(INDEX(Inventario!$B$5:$B$104,MATCH($B28,Inventario!$A$5:$A$104,0)),"")</f>
        <v>Toma doble con polo a tierra</v>
      </c>
      <c r="D28" s="91">
        <v>2</v>
      </c>
      <c r="E28" s="93">
        <f>IFERROR(INDEX(Inventario!$F$5:$F$104,MATCH($B28,Inventario!$A$5:$A$104,0)),"")</f>
        <v>14900</v>
      </c>
      <c r="F28" s="93">
        <f t="shared" si="0"/>
        <v>29800</v>
      </c>
      <c r="G28" s="93">
        <f>IFERROR($D28*INDEX(Inventario!$E$5:$E$104,MATCH($B28,Inventario!$A$5:$A$104,0)),"")</f>
        <v>11200</v>
      </c>
      <c r="H28" s="93">
        <f t="shared" si="1"/>
        <v>18600</v>
      </c>
    </row>
    <row r="29" spans="1:8" ht="15" customHeight="1" x14ac:dyDescent="0.3">
      <c r="A29" s="94">
        <v>46205</v>
      </c>
      <c r="B29" s="89" t="s">
        <v>84</v>
      </c>
      <c r="C29" s="92" t="str">
        <f>IFERROR(INDEX(Inventario!$B$5:$B$104,MATCH($B29,Inventario!$A$5:$A$104,0)),"")</f>
        <v>Bombillo LED 9 W</v>
      </c>
      <c r="D29" s="91">
        <v>7</v>
      </c>
      <c r="E29" s="93">
        <f>IFERROR(INDEX(Inventario!$F$5:$F$104,MATCH($B29,Inventario!$A$5:$A$104,0)),"")</f>
        <v>12900</v>
      </c>
      <c r="F29" s="93">
        <f t="shared" si="0"/>
        <v>90300</v>
      </c>
      <c r="G29" s="93">
        <f>IFERROR($D29*INDEX(Inventario!$E$5:$E$104,MATCH($B29,Inventario!$A$5:$A$104,0)),"")</f>
        <v>34300</v>
      </c>
      <c r="H29" s="93">
        <f t="shared" si="1"/>
        <v>56000</v>
      </c>
    </row>
    <row r="30" spans="1:8" ht="15" customHeight="1" x14ac:dyDescent="0.3">
      <c r="A30" s="94">
        <v>46205</v>
      </c>
      <c r="B30" s="89" t="s">
        <v>86</v>
      </c>
      <c r="C30" s="92" t="str">
        <f>IFERROR(INDEX(Inventario!$B$5:$B$104,MATCH($B30,Inventario!$A$5:$A$104,0)),"")</f>
        <v>Cinta aislante 18 m</v>
      </c>
      <c r="D30" s="91">
        <v>4</v>
      </c>
      <c r="E30" s="93">
        <f>IFERROR(INDEX(Inventario!$F$5:$F$104,MATCH($B30,Inventario!$A$5:$A$104,0)),"")</f>
        <v>6900</v>
      </c>
      <c r="F30" s="93">
        <f t="shared" si="0"/>
        <v>27600</v>
      </c>
      <c r="G30" s="93">
        <f>IFERROR($D30*INDEX(Inventario!$E$5:$E$104,MATCH($B30,Inventario!$A$5:$A$104,0)),"")</f>
        <v>10400</v>
      </c>
      <c r="H30" s="93">
        <f t="shared" si="1"/>
        <v>17200</v>
      </c>
    </row>
    <row r="31" spans="1:8" ht="15" customHeight="1" x14ac:dyDescent="0.3">
      <c r="A31" s="94">
        <v>46205</v>
      </c>
      <c r="B31" s="89" t="s">
        <v>93</v>
      </c>
      <c r="C31" s="92" t="str">
        <f>IFERROR(INDEX(Inventario!$B$5:$B$104,MATCH($B31,Inventario!$A$5:$A$104,0)),"")</f>
        <v>Codo PVC 1/2" 90°</v>
      </c>
      <c r="D31" s="91">
        <v>6</v>
      </c>
      <c r="E31" s="93">
        <f>IFERROR(INDEX(Inventario!$F$5:$F$104,MATCH($B31,Inventario!$A$5:$A$104,0)),"")</f>
        <v>2400</v>
      </c>
      <c r="F31" s="93">
        <f t="shared" si="0"/>
        <v>14400</v>
      </c>
      <c r="G31" s="93">
        <f>IFERROR($D31*INDEX(Inventario!$E$5:$E$104,MATCH($B31,Inventario!$A$5:$A$104,0)),"")</f>
        <v>4800</v>
      </c>
      <c r="H31" s="93">
        <f t="shared" si="1"/>
        <v>9600</v>
      </c>
    </row>
    <row r="32" spans="1:8" ht="15" customHeight="1" x14ac:dyDescent="0.3">
      <c r="A32" s="94">
        <v>46205</v>
      </c>
      <c r="B32" s="89" t="s">
        <v>95</v>
      </c>
      <c r="C32" s="92" t="str">
        <f>IFERROR(INDEX(Inventario!$B$5:$B$104,MATCH($B32,Inventario!$A$5:$A$104,0)),"")</f>
        <v>Teflón 1/2" rollo</v>
      </c>
      <c r="D32" s="91">
        <v>3</v>
      </c>
      <c r="E32" s="93">
        <f>IFERROR(INDEX(Inventario!$F$5:$F$104,MATCH($B32,Inventario!$A$5:$A$104,0)),"")</f>
        <v>2600</v>
      </c>
      <c r="F32" s="93">
        <f t="shared" si="0"/>
        <v>7800</v>
      </c>
      <c r="G32" s="93">
        <f>IFERROR($D32*INDEX(Inventario!$E$5:$E$104,MATCH($B32,Inventario!$A$5:$A$104,0)),"")</f>
        <v>2700</v>
      </c>
      <c r="H32" s="93">
        <f t="shared" si="1"/>
        <v>5100</v>
      </c>
    </row>
    <row r="33" spans="1:8" ht="15" customHeight="1" x14ac:dyDescent="0.3">
      <c r="A33" s="94">
        <v>46205</v>
      </c>
      <c r="B33" s="89" t="s">
        <v>101</v>
      </c>
      <c r="C33" s="92" t="str">
        <f>IFERROR(INDEX(Inventario!$B$5:$B$104,MATCH($B33,Inventario!$A$5:$A$104,0)),"")</f>
        <v>Resma papel carta 75 g</v>
      </c>
      <c r="D33" s="91">
        <v>5</v>
      </c>
      <c r="E33" s="93">
        <f>IFERROR(INDEX(Inventario!$F$5:$F$104,MATCH($B33,Inventario!$A$5:$A$104,0)),"")</f>
        <v>22900</v>
      </c>
      <c r="F33" s="93">
        <f t="shared" si="0"/>
        <v>114500</v>
      </c>
      <c r="G33" s="93">
        <f>IFERROR($D33*INDEX(Inventario!$E$5:$E$104,MATCH($B33,Inventario!$A$5:$A$104,0)),"")</f>
        <v>69000</v>
      </c>
      <c r="H33" s="93">
        <f t="shared" si="1"/>
        <v>45500</v>
      </c>
    </row>
    <row r="34" spans="1:8" ht="15" customHeight="1" x14ac:dyDescent="0.3">
      <c r="A34" s="94">
        <v>46205</v>
      </c>
      <c r="B34" s="89" t="s">
        <v>106</v>
      </c>
      <c r="C34" s="92" t="str">
        <f>IFERROR(INDEX(Inventario!$B$5:$B$104,MATCH($B34,Inventario!$A$5:$A$104,0)),"")</f>
        <v>Cuaderno cuadriculado 100 hojas</v>
      </c>
      <c r="D34" s="91">
        <v>3</v>
      </c>
      <c r="E34" s="93">
        <f>IFERROR(INDEX(Inventario!$F$5:$F$104,MATCH($B34,Inventario!$A$5:$A$104,0)),"")</f>
        <v>6500</v>
      </c>
      <c r="F34" s="93">
        <f t="shared" si="0"/>
        <v>19500</v>
      </c>
      <c r="G34" s="93">
        <f>IFERROR($D34*INDEX(Inventario!$E$5:$E$104,MATCH($B34,Inventario!$A$5:$A$104,0)),"")</f>
        <v>8400</v>
      </c>
      <c r="H34" s="93">
        <f t="shared" si="1"/>
        <v>11100</v>
      </c>
    </row>
    <row r="35" spans="1:8" ht="15" customHeight="1" x14ac:dyDescent="0.3">
      <c r="A35" s="94">
        <v>46205</v>
      </c>
      <c r="B35" s="89" t="s">
        <v>108</v>
      </c>
      <c r="C35" s="92" t="str">
        <f>IFERROR(INDEX(Inventario!$B$5:$B$104,MATCH($B35,Inventario!$A$5:$A$104,0)),"")</f>
        <v>Lapicero tinta negra (unidad)</v>
      </c>
      <c r="D35" s="91">
        <v>2</v>
      </c>
      <c r="E35" s="93">
        <f>IFERROR(INDEX(Inventario!$F$5:$F$104,MATCH($B35,Inventario!$A$5:$A$104,0)),"")</f>
        <v>1800</v>
      </c>
      <c r="F35" s="93">
        <f t="shared" si="0"/>
        <v>3600</v>
      </c>
      <c r="G35" s="93">
        <f>IFERROR($D35*INDEX(Inventario!$E$5:$E$104,MATCH($B35,Inventario!$A$5:$A$104,0)),"")</f>
        <v>1200</v>
      </c>
      <c r="H35" s="93">
        <f t="shared" si="1"/>
        <v>2400</v>
      </c>
    </row>
    <row r="36" spans="1:8" ht="15" customHeight="1" x14ac:dyDescent="0.3">
      <c r="A36" s="94">
        <v>46205</v>
      </c>
      <c r="B36" s="89" t="s">
        <v>112</v>
      </c>
      <c r="C36" s="92" t="str">
        <f>IFERROR(INDEX(Inventario!$B$5:$B$104,MATCH($B36,Inventario!$A$5:$A$104,0)),"")</f>
        <v>Carpeta legajadora (unidad)</v>
      </c>
      <c r="D36" s="91">
        <v>10</v>
      </c>
      <c r="E36" s="93">
        <f>IFERROR(INDEX(Inventario!$F$5:$F$104,MATCH($B36,Inventario!$A$5:$A$104,0)),"")</f>
        <v>2200</v>
      </c>
      <c r="F36" s="93">
        <f t="shared" si="0"/>
        <v>22000</v>
      </c>
      <c r="G36" s="93">
        <f>IFERROR($D36*INDEX(Inventario!$E$5:$E$104,MATCH($B36,Inventario!$A$5:$A$104,0)),"")</f>
        <v>7000</v>
      </c>
      <c r="H36" s="93">
        <f t="shared" si="1"/>
        <v>15000</v>
      </c>
    </row>
    <row r="37" spans="1:8" ht="15" customHeight="1" x14ac:dyDescent="0.3">
      <c r="A37" s="94">
        <v>46205</v>
      </c>
      <c r="B37" s="89" t="s">
        <v>127</v>
      </c>
      <c r="C37" s="92" t="str">
        <f>IFERROR(INDEX(Inventario!$B$5:$B$104,MATCH($B37,Inventario!$A$5:$A$104,0)),"")</f>
        <v>Bolsa basura 55x60 x10 und</v>
      </c>
      <c r="D37" s="91">
        <v>3</v>
      </c>
      <c r="E37" s="93">
        <f>IFERROR(INDEX(Inventario!$F$5:$F$104,MATCH($B37,Inventario!$A$5:$A$104,0)),"")</f>
        <v>7200</v>
      </c>
      <c r="F37" s="93">
        <f t="shared" si="0"/>
        <v>21600</v>
      </c>
      <c r="G37" s="93">
        <f>IFERROR($D37*INDEX(Inventario!$E$5:$E$104,MATCH($B37,Inventario!$A$5:$A$104,0)),"")</f>
        <v>8700</v>
      </c>
      <c r="H37" s="93">
        <f t="shared" si="1"/>
        <v>12900</v>
      </c>
    </row>
    <row r="38" spans="1:8" ht="15" customHeight="1" x14ac:dyDescent="0.3">
      <c r="A38" s="94">
        <v>46206</v>
      </c>
      <c r="B38" s="89" t="s">
        <v>33</v>
      </c>
      <c r="C38" s="92" t="str">
        <f>IFERROR(INDEX(Inventario!$B$5:$B$104,MATCH($B38,Inventario!$A$5:$A$104,0)),"")</f>
        <v>Tornillo autoperforante 8x1" (unidad)</v>
      </c>
      <c r="D38" s="91">
        <v>48</v>
      </c>
      <c r="E38" s="93">
        <f>IFERROR(INDEX(Inventario!$F$5:$F$104,MATCH($B38,Inventario!$A$5:$A$104,0)),"")</f>
        <v>450</v>
      </c>
      <c r="F38" s="93">
        <f t="shared" si="0"/>
        <v>21600</v>
      </c>
      <c r="G38" s="93">
        <f>IFERROR($D38*INDEX(Inventario!$E$5:$E$104,MATCH($B38,Inventario!$A$5:$A$104,0)),"")</f>
        <v>8640</v>
      </c>
      <c r="H38" s="93">
        <f t="shared" si="1"/>
        <v>12960</v>
      </c>
    </row>
    <row r="39" spans="1:8" ht="15" customHeight="1" x14ac:dyDescent="0.3">
      <c r="A39" s="94">
        <v>46206</v>
      </c>
      <c r="B39" s="89" t="s">
        <v>37</v>
      </c>
      <c r="C39" s="92" t="str">
        <f>IFERROR(INDEX(Inventario!$B$5:$B$104,MATCH($B39,Inventario!$A$5:$A$104,0)),"")</f>
        <v>Tornillo drywall 6x1 1/4" (unidad)</v>
      </c>
      <c r="D39" s="91">
        <v>29</v>
      </c>
      <c r="E39" s="93">
        <f>IFERROR(INDEX(Inventario!$F$5:$F$104,MATCH($B39,Inventario!$A$5:$A$104,0)),"")</f>
        <v>360</v>
      </c>
      <c r="F39" s="93">
        <f t="shared" si="0"/>
        <v>10440</v>
      </c>
      <c r="G39" s="93">
        <f>IFERROR($D39*INDEX(Inventario!$E$5:$E$104,MATCH($B39,Inventario!$A$5:$A$104,0)),"")</f>
        <v>4060</v>
      </c>
      <c r="H39" s="93">
        <f t="shared" si="1"/>
        <v>6380</v>
      </c>
    </row>
    <row r="40" spans="1:8" ht="15" customHeight="1" x14ac:dyDescent="0.3">
      <c r="A40" s="94">
        <v>46206</v>
      </c>
      <c r="B40" s="89" t="s">
        <v>40</v>
      </c>
      <c r="C40" s="92" t="str">
        <f>IFERROR(INDEX(Inventario!$B$5:$B$104,MATCH($B40,Inventario!$A$5:$A$104,0)),"")</f>
        <v>Chazo plástico 3/8" (unidad)</v>
      </c>
      <c r="D40" s="91">
        <v>22</v>
      </c>
      <c r="E40" s="93">
        <f>IFERROR(INDEX(Inventario!$F$5:$F$104,MATCH($B40,Inventario!$A$5:$A$104,0)),"")</f>
        <v>320</v>
      </c>
      <c r="F40" s="93">
        <f t="shared" si="0"/>
        <v>7040</v>
      </c>
      <c r="G40" s="93">
        <f>IFERROR($D40*INDEX(Inventario!$E$5:$E$104,MATCH($B40,Inventario!$A$5:$A$104,0)),"")</f>
        <v>2640</v>
      </c>
      <c r="H40" s="93">
        <f t="shared" si="1"/>
        <v>4400</v>
      </c>
    </row>
    <row r="41" spans="1:8" ht="15" customHeight="1" x14ac:dyDescent="0.3">
      <c r="A41" s="94">
        <v>46206</v>
      </c>
      <c r="B41" s="89" t="s">
        <v>43</v>
      </c>
      <c r="C41" s="92" t="str">
        <f>IFERROR(INDEX(Inventario!$B$5:$B$104,MATCH($B41,Inventario!$A$5:$A$104,0)),"")</f>
        <v>Puntilla 2" libra</v>
      </c>
      <c r="D41" s="91">
        <v>3</v>
      </c>
      <c r="E41" s="93">
        <f>IFERROR(INDEX(Inventario!$F$5:$F$104,MATCH($B41,Inventario!$A$5:$A$104,0)),"")</f>
        <v>7800</v>
      </c>
      <c r="F41" s="93">
        <f t="shared" si="0"/>
        <v>23400</v>
      </c>
      <c r="G41" s="93">
        <f>IFERROR($D41*INDEX(Inventario!$E$5:$E$104,MATCH($B41,Inventario!$A$5:$A$104,0)),"")</f>
        <v>9600</v>
      </c>
      <c r="H41" s="93">
        <f t="shared" si="1"/>
        <v>13800</v>
      </c>
    </row>
    <row r="42" spans="1:8" ht="15" customHeight="1" x14ac:dyDescent="0.3">
      <c r="A42" s="94">
        <v>46206</v>
      </c>
      <c r="B42" s="89" t="s">
        <v>46</v>
      </c>
      <c r="C42" s="92" t="str">
        <f>IFERROR(INDEX(Inventario!$B$5:$B$104,MATCH($B42,Inventario!$A$5:$A$104,0)),"")</f>
        <v>Tuerca hexagonal 1/4" (unidad)</v>
      </c>
      <c r="D42" s="91">
        <v>3</v>
      </c>
      <c r="E42" s="93">
        <f>IFERROR(INDEX(Inventario!$F$5:$F$104,MATCH($B42,Inventario!$A$5:$A$104,0)),"")</f>
        <v>520</v>
      </c>
      <c r="F42" s="93">
        <f t="shared" si="0"/>
        <v>1560</v>
      </c>
      <c r="G42" s="93">
        <f>IFERROR($D42*INDEX(Inventario!$E$5:$E$104,MATCH($B42,Inventario!$A$5:$A$104,0)),"")</f>
        <v>630</v>
      </c>
      <c r="H42" s="93">
        <f t="shared" si="1"/>
        <v>930</v>
      </c>
    </row>
    <row r="43" spans="1:8" ht="15" customHeight="1" x14ac:dyDescent="0.3">
      <c r="A43" s="94">
        <v>46206</v>
      </c>
      <c r="B43" s="89" t="s">
        <v>77</v>
      </c>
      <c r="C43" s="92" t="str">
        <f>IFERROR(INDEX(Inventario!$B$5:$B$104,MATCH($B43,Inventario!$A$5:$A$104,0)),"")</f>
        <v>Cable dúplex 2x14 (metro)</v>
      </c>
      <c r="D43" s="91">
        <v>7</v>
      </c>
      <c r="E43" s="93">
        <f>IFERROR(INDEX(Inventario!$F$5:$F$104,MATCH($B43,Inventario!$A$5:$A$104,0)),"")</f>
        <v>5900</v>
      </c>
      <c r="F43" s="93">
        <f t="shared" si="0"/>
        <v>41300</v>
      </c>
      <c r="G43" s="93">
        <f>IFERROR($D43*INDEX(Inventario!$E$5:$E$104,MATCH($B43,Inventario!$A$5:$A$104,0)),"")</f>
        <v>16800</v>
      </c>
      <c r="H43" s="93">
        <f t="shared" si="1"/>
        <v>24500</v>
      </c>
    </row>
    <row r="44" spans="1:8" ht="15" customHeight="1" x14ac:dyDescent="0.3">
      <c r="A44" s="94">
        <v>46206</v>
      </c>
      <c r="B44" s="89" t="s">
        <v>101</v>
      </c>
      <c r="C44" s="92" t="str">
        <f>IFERROR(INDEX(Inventario!$B$5:$B$104,MATCH($B44,Inventario!$A$5:$A$104,0)),"")</f>
        <v>Resma papel carta 75 g</v>
      </c>
      <c r="D44" s="91">
        <v>8</v>
      </c>
      <c r="E44" s="93">
        <f>IFERROR(INDEX(Inventario!$F$5:$F$104,MATCH($B44,Inventario!$A$5:$A$104,0)),"")</f>
        <v>22900</v>
      </c>
      <c r="F44" s="93">
        <f t="shared" si="0"/>
        <v>183200</v>
      </c>
      <c r="G44" s="93">
        <f>IFERROR($D44*INDEX(Inventario!$E$5:$E$104,MATCH($B44,Inventario!$A$5:$A$104,0)),"")</f>
        <v>110400</v>
      </c>
      <c r="H44" s="93">
        <f t="shared" si="1"/>
        <v>72800</v>
      </c>
    </row>
    <row r="45" spans="1:8" ht="15" customHeight="1" x14ac:dyDescent="0.3">
      <c r="A45" s="94">
        <v>46206</v>
      </c>
      <c r="B45" s="89" t="s">
        <v>108</v>
      </c>
      <c r="C45" s="92" t="str">
        <f>IFERROR(INDEX(Inventario!$B$5:$B$104,MATCH($B45,Inventario!$A$5:$A$104,0)),"")</f>
        <v>Lapicero tinta negra (unidad)</v>
      </c>
      <c r="D45" s="91">
        <v>10</v>
      </c>
      <c r="E45" s="93">
        <f>IFERROR(INDEX(Inventario!$F$5:$F$104,MATCH($B45,Inventario!$A$5:$A$104,0)),"")</f>
        <v>1800</v>
      </c>
      <c r="F45" s="93">
        <f t="shared" si="0"/>
        <v>18000</v>
      </c>
      <c r="G45" s="93">
        <f>IFERROR($D45*INDEX(Inventario!$E$5:$E$104,MATCH($B45,Inventario!$A$5:$A$104,0)),"")</f>
        <v>6000</v>
      </c>
      <c r="H45" s="93">
        <f t="shared" si="1"/>
        <v>12000</v>
      </c>
    </row>
    <row r="46" spans="1:8" ht="15" customHeight="1" x14ac:dyDescent="0.3">
      <c r="A46" s="94">
        <v>46206</v>
      </c>
      <c r="B46" s="89" t="s">
        <v>112</v>
      </c>
      <c r="C46" s="92" t="str">
        <f>IFERROR(INDEX(Inventario!$B$5:$B$104,MATCH($B46,Inventario!$A$5:$A$104,0)),"")</f>
        <v>Carpeta legajadora (unidad)</v>
      </c>
      <c r="D46" s="91">
        <v>2</v>
      </c>
      <c r="E46" s="93">
        <f>IFERROR(INDEX(Inventario!$F$5:$F$104,MATCH($B46,Inventario!$A$5:$A$104,0)),"")</f>
        <v>2200</v>
      </c>
      <c r="F46" s="93">
        <f t="shared" si="0"/>
        <v>4400</v>
      </c>
      <c r="G46" s="93">
        <f>IFERROR($D46*INDEX(Inventario!$E$5:$E$104,MATCH($B46,Inventario!$A$5:$A$104,0)),"")</f>
        <v>1400</v>
      </c>
      <c r="H46" s="93">
        <f t="shared" si="1"/>
        <v>3000</v>
      </c>
    </row>
    <row r="47" spans="1:8" ht="15" customHeight="1" x14ac:dyDescent="0.3">
      <c r="A47" s="94">
        <v>46206</v>
      </c>
      <c r="B47" s="89" t="s">
        <v>114</v>
      </c>
      <c r="C47" s="92" t="str">
        <f>IFERROR(INDEX(Inventario!$B$5:$B$104,MATCH($B47,Inventario!$A$5:$A$104,0)),"")</f>
        <v>Cinta pegante 48 mm</v>
      </c>
      <c r="D47" s="91">
        <v>3</v>
      </c>
      <c r="E47" s="93">
        <f>IFERROR(INDEX(Inventario!$F$5:$F$104,MATCH($B47,Inventario!$A$5:$A$104,0)),"")</f>
        <v>5900</v>
      </c>
      <c r="F47" s="93">
        <f t="shared" si="0"/>
        <v>17700</v>
      </c>
      <c r="G47" s="93">
        <f>IFERROR($D47*INDEX(Inventario!$E$5:$E$104,MATCH($B47,Inventario!$A$5:$A$104,0)),"")</f>
        <v>6600</v>
      </c>
      <c r="H47" s="93">
        <f t="shared" si="1"/>
        <v>11100</v>
      </c>
    </row>
    <row r="48" spans="1:8" ht="15" customHeight="1" x14ac:dyDescent="0.3">
      <c r="A48" s="94">
        <v>46206</v>
      </c>
      <c r="B48" s="89" t="s">
        <v>123</v>
      </c>
      <c r="C48" s="92" t="str">
        <f>IFERROR(INDEX(Inventario!$B$5:$B$104,MATCH($B48,Inventario!$A$5:$A$104,0)),"")</f>
        <v>Trapero industrial</v>
      </c>
      <c r="D48" s="91">
        <v>1</v>
      </c>
      <c r="E48" s="93">
        <f>IFERROR(INDEX(Inventario!$F$5:$F$104,MATCH($B48,Inventario!$A$5:$A$104,0)),"")</f>
        <v>22500</v>
      </c>
      <c r="F48" s="93">
        <f t="shared" si="0"/>
        <v>22500</v>
      </c>
      <c r="G48" s="93">
        <f>IFERROR($D48*INDEX(Inventario!$E$5:$E$104,MATCH($B48,Inventario!$A$5:$A$104,0)),"")</f>
        <v>9600</v>
      </c>
      <c r="H48" s="93">
        <f t="shared" si="1"/>
        <v>12900</v>
      </c>
    </row>
    <row r="49" spans="1:8" ht="15" customHeight="1" x14ac:dyDescent="0.3">
      <c r="A49" s="94">
        <v>46207</v>
      </c>
      <c r="B49" s="89" t="s">
        <v>33</v>
      </c>
      <c r="C49" s="92" t="str">
        <f>IFERROR(INDEX(Inventario!$B$5:$B$104,MATCH($B49,Inventario!$A$5:$A$104,0)),"")</f>
        <v>Tornillo autoperforante 8x1" (unidad)</v>
      </c>
      <c r="D49" s="91">
        <v>63</v>
      </c>
      <c r="E49" s="93">
        <f>IFERROR(INDEX(Inventario!$F$5:$F$104,MATCH($B49,Inventario!$A$5:$A$104,0)),"")</f>
        <v>450</v>
      </c>
      <c r="F49" s="93">
        <f t="shared" si="0"/>
        <v>28350</v>
      </c>
      <c r="G49" s="93">
        <f>IFERROR($D49*INDEX(Inventario!$E$5:$E$104,MATCH($B49,Inventario!$A$5:$A$104,0)),"")</f>
        <v>11340</v>
      </c>
      <c r="H49" s="93">
        <f t="shared" si="1"/>
        <v>17010</v>
      </c>
    </row>
    <row r="50" spans="1:8" ht="15" customHeight="1" x14ac:dyDescent="0.3">
      <c r="A50" s="94">
        <v>46207</v>
      </c>
      <c r="B50" s="89" t="s">
        <v>37</v>
      </c>
      <c r="C50" s="92" t="str">
        <f>IFERROR(INDEX(Inventario!$B$5:$B$104,MATCH($B50,Inventario!$A$5:$A$104,0)),"")</f>
        <v>Tornillo drywall 6x1 1/4" (unidad)</v>
      </c>
      <c r="D50" s="91">
        <v>36</v>
      </c>
      <c r="E50" s="93">
        <f>IFERROR(INDEX(Inventario!$F$5:$F$104,MATCH($B50,Inventario!$A$5:$A$104,0)),"")</f>
        <v>360</v>
      </c>
      <c r="F50" s="93">
        <f t="shared" si="0"/>
        <v>12960</v>
      </c>
      <c r="G50" s="93">
        <f>IFERROR($D50*INDEX(Inventario!$E$5:$E$104,MATCH($B50,Inventario!$A$5:$A$104,0)),"")</f>
        <v>5040</v>
      </c>
      <c r="H50" s="93">
        <f t="shared" si="1"/>
        <v>7920</v>
      </c>
    </row>
    <row r="51" spans="1:8" ht="15" customHeight="1" x14ac:dyDescent="0.3">
      <c r="A51" s="94">
        <v>46207</v>
      </c>
      <c r="B51" s="89" t="s">
        <v>40</v>
      </c>
      <c r="C51" s="92" t="str">
        <f>IFERROR(INDEX(Inventario!$B$5:$B$104,MATCH($B51,Inventario!$A$5:$A$104,0)),"")</f>
        <v>Chazo plástico 3/8" (unidad)</v>
      </c>
      <c r="D51" s="91">
        <v>27</v>
      </c>
      <c r="E51" s="93">
        <f>IFERROR(INDEX(Inventario!$F$5:$F$104,MATCH($B51,Inventario!$A$5:$A$104,0)),"")</f>
        <v>320</v>
      </c>
      <c r="F51" s="93">
        <f t="shared" si="0"/>
        <v>8640</v>
      </c>
      <c r="G51" s="93">
        <f>IFERROR($D51*INDEX(Inventario!$E$5:$E$104,MATCH($B51,Inventario!$A$5:$A$104,0)),"")</f>
        <v>3240</v>
      </c>
      <c r="H51" s="93">
        <f t="shared" si="1"/>
        <v>5400</v>
      </c>
    </row>
    <row r="52" spans="1:8" ht="15" customHeight="1" x14ac:dyDescent="0.3">
      <c r="A52" s="94">
        <v>46207</v>
      </c>
      <c r="B52" s="89" t="s">
        <v>43</v>
      </c>
      <c r="C52" s="92" t="str">
        <f>IFERROR(INDEX(Inventario!$B$5:$B$104,MATCH($B52,Inventario!$A$5:$A$104,0)),"")</f>
        <v>Puntilla 2" libra</v>
      </c>
      <c r="D52" s="91">
        <v>5</v>
      </c>
      <c r="E52" s="93">
        <f>IFERROR(INDEX(Inventario!$F$5:$F$104,MATCH($B52,Inventario!$A$5:$A$104,0)),"")</f>
        <v>7800</v>
      </c>
      <c r="F52" s="93">
        <f t="shared" si="0"/>
        <v>39000</v>
      </c>
      <c r="G52" s="93">
        <f>IFERROR($D52*INDEX(Inventario!$E$5:$E$104,MATCH($B52,Inventario!$A$5:$A$104,0)),"")</f>
        <v>16000</v>
      </c>
      <c r="H52" s="93">
        <f t="shared" si="1"/>
        <v>23000</v>
      </c>
    </row>
    <row r="53" spans="1:8" ht="15" customHeight="1" x14ac:dyDescent="0.3">
      <c r="A53" s="94">
        <v>46207</v>
      </c>
      <c r="B53" s="89" t="s">
        <v>49</v>
      </c>
      <c r="C53" s="92" t="str">
        <f>IFERROR(INDEX(Inventario!$B$5:$B$104,MATCH($B53,Inventario!$A$5:$A$104,0)),"")</f>
        <v>Martillo carpintero 16 oz</v>
      </c>
      <c r="D53" s="91">
        <v>1</v>
      </c>
      <c r="E53" s="93">
        <f>IFERROR(INDEX(Inventario!$F$5:$F$104,MATCH($B53,Inventario!$A$5:$A$104,0)),"")</f>
        <v>42000</v>
      </c>
      <c r="F53" s="93">
        <f t="shared" si="0"/>
        <v>42000</v>
      </c>
      <c r="G53" s="93">
        <f>IFERROR($D53*INDEX(Inventario!$E$5:$E$104,MATCH($B53,Inventario!$A$5:$A$104,0)),"")</f>
        <v>18500</v>
      </c>
      <c r="H53" s="93">
        <f t="shared" si="1"/>
        <v>23500</v>
      </c>
    </row>
    <row r="54" spans="1:8" ht="15" customHeight="1" x14ac:dyDescent="0.3">
      <c r="A54" s="94">
        <v>46207</v>
      </c>
      <c r="B54" s="89" t="s">
        <v>54</v>
      </c>
      <c r="C54" s="92" t="str">
        <f>IFERROR(INDEX(Inventario!$B$5:$B$104,MATCH($B54,Inventario!$A$5:$A$104,0)),"")</f>
        <v>Alicate universal 8"</v>
      </c>
      <c r="D54" s="91">
        <v>1</v>
      </c>
      <c r="E54" s="93">
        <f>IFERROR(INDEX(Inventario!$F$5:$F$104,MATCH($B54,Inventario!$A$5:$A$104,0)),"")</f>
        <v>36500</v>
      </c>
      <c r="F54" s="93">
        <f t="shared" si="0"/>
        <v>36500</v>
      </c>
      <c r="G54" s="93">
        <f>IFERROR($D54*INDEX(Inventario!$E$5:$E$104,MATCH($B54,Inventario!$A$5:$A$104,0)),"")</f>
        <v>14800</v>
      </c>
      <c r="H54" s="93">
        <f t="shared" si="1"/>
        <v>21700</v>
      </c>
    </row>
    <row r="55" spans="1:8" ht="15" customHeight="1" x14ac:dyDescent="0.3">
      <c r="A55" s="94">
        <v>46207</v>
      </c>
      <c r="B55" s="89" t="s">
        <v>60</v>
      </c>
      <c r="C55" s="92" t="str">
        <f>IFERROR(INDEX(Inventario!$B$5:$B$104,MATCH($B55,Inventario!$A$5:$A$104,0)),"")</f>
        <v>Metro flexible 5 m</v>
      </c>
      <c r="D55" s="91">
        <v>1</v>
      </c>
      <c r="E55" s="93">
        <f>IFERROR(INDEX(Inventario!$F$5:$F$104,MATCH($B55,Inventario!$A$5:$A$104,0)),"")</f>
        <v>24500</v>
      </c>
      <c r="F55" s="93">
        <f t="shared" si="0"/>
        <v>24500</v>
      </c>
      <c r="G55" s="93">
        <f>IFERROR($D55*INDEX(Inventario!$E$5:$E$104,MATCH($B55,Inventario!$A$5:$A$104,0)),"")</f>
        <v>9800</v>
      </c>
      <c r="H55" s="93">
        <f t="shared" si="1"/>
        <v>14700</v>
      </c>
    </row>
    <row r="56" spans="1:8" ht="15" customHeight="1" x14ac:dyDescent="0.3">
      <c r="A56" s="94">
        <v>46207</v>
      </c>
      <c r="B56" s="89" t="s">
        <v>65</v>
      </c>
      <c r="C56" s="92" t="str">
        <f>IFERROR(INDEX(Inventario!$B$5:$B$104,MATCH($B56,Inventario!$A$5:$A$104,0)),"")</f>
        <v>Pintura vinilo tipo 1 galón colores</v>
      </c>
      <c r="D56" s="91">
        <v>1</v>
      </c>
      <c r="E56" s="93">
        <f>IFERROR(INDEX(Inventario!$F$5:$F$104,MATCH($B56,Inventario!$A$5:$A$104,0)),"")</f>
        <v>86000</v>
      </c>
      <c r="F56" s="93">
        <f t="shared" si="0"/>
        <v>86000</v>
      </c>
      <c r="G56" s="93">
        <f>IFERROR($D56*INDEX(Inventario!$E$5:$E$104,MATCH($B56,Inventario!$A$5:$A$104,0)),"")</f>
        <v>41000</v>
      </c>
      <c r="H56" s="93">
        <f t="shared" si="1"/>
        <v>45000</v>
      </c>
    </row>
    <row r="57" spans="1:8" ht="15" customHeight="1" x14ac:dyDescent="0.3">
      <c r="A57" s="94">
        <v>46207</v>
      </c>
      <c r="B57" s="89" t="s">
        <v>69</v>
      </c>
      <c r="C57" s="92" t="str">
        <f>IFERROR(INDEX(Inventario!$B$5:$B$104,MATCH($B57,Inventario!$A$5:$A$104,0)),"")</f>
        <v>Brocha 3"</v>
      </c>
      <c r="D57" s="91">
        <v>1</v>
      </c>
      <c r="E57" s="93">
        <f>IFERROR(INDEX(Inventario!$F$5:$F$104,MATCH($B57,Inventario!$A$5:$A$104,0)),"")</f>
        <v>12500</v>
      </c>
      <c r="F57" s="93">
        <f t="shared" si="0"/>
        <v>12500</v>
      </c>
      <c r="G57" s="93">
        <f>IFERROR($D57*INDEX(Inventario!$E$5:$E$104,MATCH($B57,Inventario!$A$5:$A$104,0)),"")</f>
        <v>4800</v>
      </c>
      <c r="H57" s="93">
        <f t="shared" si="1"/>
        <v>7700</v>
      </c>
    </row>
    <row r="58" spans="1:8" ht="15" customHeight="1" x14ac:dyDescent="0.3">
      <c r="A58" s="94">
        <v>46207</v>
      </c>
      <c r="B58" s="89" t="s">
        <v>73</v>
      </c>
      <c r="C58" s="92" t="str">
        <f>IFERROR(INDEX(Inventario!$B$5:$B$104,MATCH($B58,Inventario!$A$5:$A$104,0)),"")</f>
        <v>Lija agua #150 (pliego)</v>
      </c>
      <c r="D58" s="91">
        <v>11</v>
      </c>
      <c r="E58" s="93">
        <f>IFERROR(INDEX(Inventario!$F$5:$F$104,MATCH($B58,Inventario!$A$5:$A$104,0)),"")</f>
        <v>2500</v>
      </c>
      <c r="F58" s="93">
        <f t="shared" si="0"/>
        <v>27500</v>
      </c>
      <c r="G58" s="93">
        <f>IFERROR($D58*INDEX(Inventario!$E$5:$E$104,MATCH($B58,Inventario!$A$5:$A$104,0)),"")</f>
        <v>9900</v>
      </c>
      <c r="H58" s="93">
        <f t="shared" si="1"/>
        <v>17600</v>
      </c>
    </row>
    <row r="59" spans="1:8" ht="15" customHeight="1" x14ac:dyDescent="0.3">
      <c r="A59" s="94">
        <v>46207</v>
      </c>
      <c r="B59" s="89" t="s">
        <v>75</v>
      </c>
      <c r="C59" s="92" t="str">
        <f>IFERROR(INDEX(Inventario!$B$5:$B$104,MATCH($B59,Inventario!$A$5:$A$104,0)),"")</f>
        <v>Thinner corriente litro</v>
      </c>
      <c r="D59" s="91">
        <v>3</v>
      </c>
      <c r="E59" s="93">
        <f>IFERROR(INDEX(Inventario!$F$5:$F$104,MATCH($B59,Inventario!$A$5:$A$104,0)),"")</f>
        <v>16800</v>
      </c>
      <c r="F59" s="93">
        <f t="shared" si="0"/>
        <v>50400</v>
      </c>
      <c r="G59" s="93">
        <f>IFERROR($D59*INDEX(Inventario!$E$5:$E$104,MATCH($B59,Inventario!$A$5:$A$104,0)),"")</f>
        <v>22200</v>
      </c>
      <c r="H59" s="93">
        <f t="shared" si="1"/>
        <v>28200</v>
      </c>
    </row>
    <row r="60" spans="1:8" ht="15" customHeight="1" x14ac:dyDescent="0.3">
      <c r="A60" s="94">
        <v>46207</v>
      </c>
      <c r="B60" s="89" t="s">
        <v>77</v>
      </c>
      <c r="C60" s="92" t="str">
        <f>IFERROR(INDEX(Inventario!$B$5:$B$104,MATCH($B60,Inventario!$A$5:$A$104,0)),"")</f>
        <v>Cable dúplex 2x14 (metro)</v>
      </c>
      <c r="D60" s="91">
        <v>17</v>
      </c>
      <c r="E60" s="93">
        <f>IFERROR(INDEX(Inventario!$F$5:$F$104,MATCH($B60,Inventario!$A$5:$A$104,0)),"")</f>
        <v>5900</v>
      </c>
      <c r="F60" s="93">
        <f t="shared" si="0"/>
        <v>100300</v>
      </c>
      <c r="G60" s="93">
        <f>IFERROR($D60*INDEX(Inventario!$E$5:$E$104,MATCH($B60,Inventario!$A$5:$A$104,0)),"")</f>
        <v>40800</v>
      </c>
      <c r="H60" s="93">
        <f t="shared" si="1"/>
        <v>59500</v>
      </c>
    </row>
    <row r="61" spans="1:8" ht="15" customHeight="1" x14ac:dyDescent="0.3">
      <c r="A61" s="94">
        <v>46207</v>
      </c>
      <c r="B61" s="89" t="s">
        <v>95</v>
      </c>
      <c r="C61" s="92" t="str">
        <f>IFERROR(INDEX(Inventario!$B$5:$B$104,MATCH($B61,Inventario!$A$5:$A$104,0)),"")</f>
        <v>Teflón 1/2" rollo</v>
      </c>
      <c r="D61" s="91">
        <v>5</v>
      </c>
      <c r="E61" s="93">
        <f>IFERROR(INDEX(Inventario!$F$5:$F$104,MATCH($B61,Inventario!$A$5:$A$104,0)),"")</f>
        <v>2600</v>
      </c>
      <c r="F61" s="93">
        <f t="shared" si="0"/>
        <v>13000</v>
      </c>
      <c r="G61" s="93">
        <f>IFERROR($D61*INDEX(Inventario!$E$5:$E$104,MATCH($B61,Inventario!$A$5:$A$104,0)),"")</f>
        <v>4500</v>
      </c>
      <c r="H61" s="93">
        <f t="shared" si="1"/>
        <v>8500</v>
      </c>
    </row>
    <row r="62" spans="1:8" ht="15" customHeight="1" x14ac:dyDescent="0.3">
      <c r="A62" s="94">
        <v>46207</v>
      </c>
      <c r="B62" s="89" t="s">
        <v>108</v>
      </c>
      <c r="C62" s="92" t="str">
        <f>IFERROR(INDEX(Inventario!$B$5:$B$104,MATCH($B62,Inventario!$A$5:$A$104,0)),"")</f>
        <v>Lapicero tinta negra (unidad)</v>
      </c>
      <c r="D62" s="91">
        <v>12</v>
      </c>
      <c r="E62" s="93">
        <f>IFERROR(INDEX(Inventario!$F$5:$F$104,MATCH($B62,Inventario!$A$5:$A$104,0)),"")</f>
        <v>1800</v>
      </c>
      <c r="F62" s="93">
        <f t="shared" si="0"/>
        <v>21600</v>
      </c>
      <c r="G62" s="93">
        <f>IFERROR($D62*INDEX(Inventario!$E$5:$E$104,MATCH($B62,Inventario!$A$5:$A$104,0)),"")</f>
        <v>7200</v>
      </c>
      <c r="H62" s="93">
        <f t="shared" si="1"/>
        <v>14400</v>
      </c>
    </row>
    <row r="63" spans="1:8" ht="15" customHeight="1" x14ac:dyDescent="0.3">
      <c r="A63" s="94">
        <v>46207</v>
      </c>
      <c r="B63" s="89" t="s">
        <v>112</v>
      </c>
      <c r="C63" s="92" t="str">
        <f>IFERROR(INDEX(Inventario!$B$5:$B$104,MATCH($B63,Inventario!$A$5:$A$104,0)),"")</f>
        <v>Carpeta legajadora (unidad)</v>
      </c>
      <c r="D63" s="91">
        <v>7</v>
      </c>
      <c r="E63" s="93">
        <f>IFERROR(INDEX(Inventario!$F$5:$F$104,MATCH($B63,Inventario!$A$5:$A$104,0)),"")</f>
        <v>2200</v>
      </c>
      <c r="F63" s="93">
        <f t="shared" si="0"/>
        <v>15400</v>
      </c>
      <c r="G63" s="93">
        <f>IFERROR($D63*INDEX(Inventario!$E$5:$E$104,MATCH($B63,Inventario!$A$5:$A$104,0)),"")</f>
        <v>4900</v>
      </c>
      <c r="H63" s="93">
        <f t="shared" si="1"/>
        <v>10500</v>
      </c>
    </row>
    <row r="64" spans="1:8" ht="15" customHeight="1" x14ac:dyDescent="0.3">
      <c r="A64" s="94">
        <v>46209</v>
      </c>
      <c r="B64" s="89" t="s">
        <v>33</v>
      </c>
      <c r="C64" s="92" t="str">
        <f>IFERROR(INDEX(Inventario!$B$5:$B$104,MATCH($B64,Inventario!$A$5:$A$104,0)),"")</f>
        <v>Tornillo autoperforante 8x1" (unidad)</v>
      </c>
      <c r="D64" s="91">
        <v>22</v>
      </c>
      <c r="E64" s="93">
        <f>IFERROR(INDEX(Inventario!$F$5:$F$104,MATCH($B64,Inventario!$A$5:$A$104,0)),"")</f>
        <v>450</v>
      </c>
      <c r="F64" s="93">
        <f t="shared" si="0"/>
        <v>9900</v>
      </c>
      <c r="G64" s="93">
        <f>IFERROR($D64*INDEX(Inventario!$E$5:$E$104,MATCH($B64,Inventario!$A$5:$A$104,0)),"")</f>
        <v>3960</v>
      </c>
      <c r="H64" s="93">
        <f t="shared" si="1"/>
        <v>5940</v>
      </c>
    </row>
    <row r="65" spans="1:8" ht="15" customHeight="1" x14ac:dyDescent="0.3">
      <c r="A65" s="94">
        <v>46209</v>
      </c>
      <c r="B65" s="89" t="s">
        <v>37</v>
      </c>
      <c r="C65" s="92" t="str">
        <f>IFERROR(INDEX(Inventario!$B$5:$B$104,MATCH($B65,Inventario!$A$5:$A$104,0)),"")</f>
        <v>Tornillo drywall 6x1 1/4" (unidad)</v>
      </c>
      <c r="D65" s="91">
        <v>1</v>
      </c>
      <c r="E65" s="93">
        <f>IFERROR(INDEX(Inventario!$F$5:$F$104,MATCH($B65,Inventario!$A$5:$A$104,0)),"")</f>
        <v>360</v>
      </c>
      <c r="F65" s="93">
        <f t="shared" si="0"/>
        <v>360</v>
      </c>
      <c r="G65" s="93">
        <f>IFERROR($D65*INDEX(Inventario!$E$5:$E$104,MATCH($B65,Inventario!$A$5:$A$104,0)),"")</f>
        <v>140</v>
      </c>
      <c r="H65" s="93">
        <f t="shared" si="1"/>
        <v>220</v>
      </c>
    </row>
    <row r="66" spans="1:8" ht="15" customHeight="1" x14ac:dyDescent="0.3">
      <c r="A66" s="94">
        <v>46209</v>
      </c>
      <c r="B66" s="89" t="s">
        <v>40</v>
      </c>
      <c r="C66" s="92" t="str">
        <f>IFERROR(INDEX(Inventario!$B$5:$B$104,MATCH($B66,Inventario!$A$5:$A$104,0)),"")</f>
        <v>Chazo plástico 3/8" (unidad)</v>
      </c>
      <c r="D66" s="91">
        <v>3</v>
      </c>
      <c r="E66" s="93">
        <f>IFERROR(INDEX(Inventario!$F$5:$F$104,MATCH($B66,Inventario!$A$5:$A$104,0)),"")</f>
        <v>320</v>
      </c>
      <c r="F66" s="93">
        <f t="shared" si="0"/>
        <v>960</v>
      </c>
      <c r="G66" s="93">
        <f>IFERROR($D66*INDEX(Inventario!$E$5:$E$104,MATCH($B66,Inventario!$A$5:$A$104,0)),"")</f>
        <v>360</v>
      </c>
      <c r="H66" s="93">
        <f t="shared" si="1"/>
        <v>600</v>
      </c>
    </row>
    <row r="67" spans="1:8" ht="15" customHeight="1" x14ac:dyDescent="0.3">
      <c r="A67" s="94">
        <v>46209</v>
      </c>
      <c r="B67" s="89" t="s">
        <v>46</v>
      </c>
      <c r="C67" s="92" t="str">
        <f>IFERROR(INDEX(Inventario!$B$5:$B$104,MATCH($B67,Inventario!$A$5:$A$104,0)),"")</f>
        <v>Tuerca hexagonal 1/4" (unidad)</v>
      </c>
      <c r="D67" s="91">
        <v>6</v>
      </c>
      <c r="E67" s="93">
        <f>IFERROR(INDEX(Inventario!$F$5:$F$104,MATCH($B67,Inventario!$A$5:$A$104,0)),"")</f>
        <v>520</v>
      </c>
      <c r="F67" s="93">
        <f t="shared" si="0"/>
        <v>3120</v>
      </c>
      <c r="G67" s="93">
        <f>IFERROR($D67*INDEX(Inventario!$E$5:$E$104,MATCH($B67,Inventario!$A$5:$A$104,0)),"")</f>
        <v>1260</v>
      </c>
      <c r="H67" s="93">
        <f t="shared" si="1"/>
        <v>1860</v>
      </c>
    </row>
    <row r="68" spans="1:8" ht="15" customHeight="1" x14ac:dyDescent="0.3">
      <c r="A68" s="94">
        <v>46209</v>
      </c>
      <c r="B68" s="89" t="s">
        <v>62</v>
      </c>
      <c r="C68" s="92" t="str">
        <f>IFERROR(INDEX(Inventario!$B$5:$B$104,MATCH($B68,Inventario!$A$5:$A$104,0)),"")</f>
        <v>Pintura vinilo tipo 1 galón blanco</v>
      </c>
      <c r="D68" s="91">
        <v>1</v>
      </c>
      <c r="E68" s="93">
        <f>IFERROR(INDEX(Inventario!$F$5:$F$104,MATCH($B68,Inventario!$A$5:$A$104,0)),"")</f>
        <v>79000</v>
      </c>
      <c r="F68" s="93">
        <f t="shared" si="0"/>
        <v>79000</v>
      </c>
      <c r="G68" s="93">
        <f>IFERROR($D68*INDEX(Inventario!$E$5:$E$104,MATCH($B68,Inventario!$A$5:$A$104,0)),"")</f>
        <v>38000</v>
      </c>
      <c r="H68" s="93">
        <f t="shared" si="1"/>
        <v>41000</v>
      </c>
    </row>
    <row r="69" spans="1:8" ht="15" customHeight="1" x14ac:dyDescent="0.3">
      <c r="A69" s="94">
        <v>46209</v>
      </c>
      <c r="B69" s="89" t="s">
        <v>73</v>
      </c>
      <c r="C69" s="92" t="str">
        <f>IFERROR(INDEX(Inventario!$B$5:$B$104,MATCH($B69,Inventario!$A$5:$A$104,0)),"")</f>
        <v>Lija agua #150 (pliego)</v>
      </c>
      <c r="D69" s="91">
        <v>6</v>
      </c>
      <c r="E69" s="93">
        <f>IFERROR(INDEX(Inventario!$F$5:$F$104,MATCH($B69,Inventario!$A$5:$A$104,0)),"")</f>
        <v>2500</v>
      </c>
      <c r="F69" s="93">
        <f t="shared" ref="F69:F132" si="2">IFERROR($D69*$E69,"")</f>
        <v>15000</v>
      </c>
      <c r="G69" s="93">
        <f>IFERROR($D69*INDEX(Inventario!$E$5:$E$104,MATCH($B69,Inventario!$A$5:$A$104,0)),"")</f>
        <v>5400</v>
      </c>
      <c r="H69" s="93">
        <f t="shared" ref="H69:H132" si="3">IFERROR($F69-$G69,"")</f>
        <v>9600</v>
      </c>
    </row>
    <row r="70" spans="1:8" ht="15" customHeight="1" x14ac:dyDescent="0.3">
      <c r="A70" s="94">
        <v>46209</v>
      </c>
      <c r="B70" s="89" t="s">
        <v>77</v>
      </c>
      <c r="C70" s="92" t="str">
        <f>IFERROR(INDEX(Inventario!$B$5:$B$104,MATCH($B70,Inventario!$A$5:$A$104,0)),"")</f>
        <v>Cable dúplex 2x14 (metro)</v>
      </c>
      <c r="D70" s="91">
        <v>24</v>
      </c>
      <c r="E70" s="93">
        <f>IFERROR(INDEX(Inventario!$F$5:$F$104,MATCH($B70,Inventario!$A$5:$A$104,0)),"")</f>
        <v>5900</v>
      </c>
      <c r="F70" s="93">
        <f t="shared" si="2"/>
        <v>141600</v>
      </c>
      <c r="G70" s="93">
        <f>IFERROR($D70*INDEX(Inventario!$E$5:$E$104,MATCH($B70,Inventario!$A$5:$A$104,0)),"")</f>
        <v>57600</v>
      </c>
      <c r="H70" s="93">
        <f t="shared" si="3"/>
        <v>84000</v>
      </c>
    </row>
    <row r="71" spans="1:8" ht="15" customHeight="1" x14ac:dyDescent="0.3">
      <c r="A71" s="94">
        <v>46209</v>
      </c>
      <c r="B71" s="89" t="s">
        <v>82</v>
      </c>
      <c r="C71" s="92" t="str">
        <f>IFERROR(INDEX(Inventario!$B$5:$B$104,MATCH($B71,Inventario!$A$5:$A$104,0)),"")</f>
        <v>Toma doble con polo a tierra</v>
      </c>
      <c r="D71" s="91">
        <v>3</v>
      </c>
      <c r="E71" s="93">
        <f>IFERROR(INDEX(Inventario!$F$5:$F$104,MATCH($B71,Inventario!$A$5:$A$104,0)),"")</f>
        <v>14900</v>
      </c>
      <c r="F71" s="93">
        <f t="shared" si="2"/>
        <v>44700</v>
      </c>
      <c r="G71" s="93">
        <f>IFERROR($D71*INDEX(Inventario!$E$5:$E$104,MATCH($B71,Inventario!$A$5:$A$104,0)),"")</f>
        <v>16800</v>
      </c>
      <c r="H71" s="93">
        <f t="shared" si="3"/>
        <v>27900</v>
      </c>
    </row>
    <row r="72" spans="1:8" ht="15" customHeight="1" x14ac:dyDescent="0.3">
      <c r="A72" s="94">
        <v>46209</v>
      </c>
      <c r="B72" s="89" t="s">
        <v>84</v>
      </c>
      <c r="C72" s="92" t="str">
        <f>IFERROR(INDEX(Inventario!$B$5:$B$104,MATCH($B72,Inventario!$A$5:$A$104,0)),"")</f>
        <v>Bombillo LED 9 W</v>
      </c>
      <c r="D72" s="91">
        <v>4</v>
      </c>
      <c r="E72" s="93">
        <f>IFERROR(INDEX(Inventario!$F$5:$F$104,MATCH($B72,Inventario!$A$5:$A$104,0)),"")</f>
        <v>12900</v>
      </c>
      <c r="F72" s="93">
        <f t="shared" si="2"/>
        <v>51600</v>
      </c>
      <c r="G72" s="93">
        <f>IFERROR($D72*INDEX(Inventario!$E$5:$E$104,MATCH($B72,Inventario!$A$5:$A$104,0)),"")</f>
        <v>19600</v>
      </c>
      <c r="H72" s="93">
        <f t="shared" si="3"/>
        <v>32000</v>
      </c>
    </row>
    <row r="73" spans="1:8" ht="15" customHeight="1" x14ac:dyDescent="0.3">
      <c r="A73" s="94">
        <v>46209</v>
      </c>
      <c r="B73" s="89" t="s">
        <v>108</v>
      </c>
      <c r="C73" s="92" t="str">
        <f>IFERROR(INDEX(Inventario!$B$5:$B$104,MATCH($B73,Inventario!$A$5:$A$104,0)),"")</f>
        <v>Lapicero tinta negra (unidad)</v>
      </c>
      <c r="D73" s="91">
        <v>18</v>
      </c>
      <c r="E73" s="93">
        <f>IFERROR(INDEX(Inventario!$F$5:$F$104,MATCH($B73,Inventario!$A$5:$A$104,0)),"")</f>
        <v>1800</v>
      </c>
      <c r="F73" s="93">
        <f t="shared" si="2"/>
        <v>32400</v>
      </c>
      <c r="G73" s="93">
        <f>IFERROR($D73*INDEX(Inventario!$E$5:$E$104,MATCH($B73,Inventario!$A$5:$A$104,0)),"")</f>
        <v>10800</v>
      </c>
      <c r="H73" s="93">
        <f t="shared" si="3"/>
        <v>21600</v>
      </c>
    </row>
    <row r="74" spans="1:8" ht="15" customHeight="1" x14ac:dyDescent="0.3">
      <c r="A74" s="94">
        <v>46209</v>
      </c>
      <c r="B74" s="89" t="s">
        <v>114</v>
      </c>
      <c r="C74" s="92" t="str">
        <f>IFERROR(INDEX(Inventario!$B$5:$B$104,MATCH($B74,Inventario!$A$5:$A$104,0)),"")</f>
        <v>Cinta pegante 48 mm</v>
      </c>
      <c r="D74" s="91">
        <v>2</v>
      </c>
      <c r="E74" s="93">
        <f>IFERROR(INDEX(Inventario!$F$5:$F$104,MATCH($B74,Inventario!$A$5:$A$104,0)),"")</f>
        <v>5900</v>
      </c>
      <c r="F74" s="93">
        <f t="shared" si="2"/>
        <v>11800</v>
      </c>
      <c r="G74" s="93">
        <f>IFERROR($D74*INDEX(Inventario!$E$5:$E$104,MATCH($B74,Inventario!$A$5:$A$104,0)),"")</f>
        <v>4400</v>
      </c>
      <c r="H74" s="93">
        <f t="shared" si="3"/>
        <v>7400</v>
      </c>
    </row>
    <row r="75" spans="1:8" ht="15" customHeight="1" x14ac:dyDescent="0.3">
      <c r="A75" s="94">
        <v>46209</v>
      </c>
      <c r="B75" s="89" t="s">
        <v>120</v>
      </c>
      <c r="C75" s="92" t="str">
        <f>IFERROR(INDEX(Inventario!$B$5:$B$104,MATCH($B75,Inventario!$A$5:$A$104,0)),"")</f>
        <v>Escoba plástica con cabo</v>
      </c>
      <c r="D75" s="91">
        <v>1</v>
      </c>
      <c r="E75" s="93">
        <f>IFERROR(INDEX(Inventario!$F$5:$F$104,MATCH($B75,Inventario!$A$5:$A$104,0)),"")</f>
        <v>19500</v>
      </c>
      <c r="F75" s="93">
        <f t="shared" si="2"/>
        <v>19500</v>
      </c>
      <c r="G75" s="93">
        <f>IFERROR($D75*INDEX(Inventario!$E$5:$E$104,MATCH($B75,Inventario!$A$5:$A$104,0)),"")</f>
        <v>8200</v>
      </c>
      <c r="H75" s="93">
        <f t="shared" si="3"/>
        <v>11300</v>
      </c>
    </row>
    <row r="76" spans="1:8" ht="15" customHeight="1" x14ac:dyDescent="0.3">
      <c r="A76" s="94">
        <v>46209</v>
      </c>
      <c r="B76" s="89" t="s">
        <v>129</v>
      </c>
      <c r="C76" s="92" t="str">
        <f>IFERROR(INDEX(Inventario!$B$5:$B$104,MATCH($B76,Inventario!$A$5:$A$104,0)),"")</f>
        <v>Detergente industrial 1 kg</v>
      </c>
      <c r="D76" s="91">
        <v>1</v>
      </c>
      <c r="E76" s="93">
        <f>IFERROR(INDEX(Inventario!$F$5:$F$104,MATCH($B76,Inventario!$A$5:$A$104,0)),"")</f>
        <v>24500</v>
      </c>
      <c r="F76" s="93">
        <f t="shared" si="2"/>
        <v>24500</v>
      </c>
      <c r="G76" s="93">
        <f>IFERROR($D76*INDEX(Inventario!$E$5:$E$104,MATCH($B76,Inventario!$A$5:$A$104,0)),"")</f>
        <v>11000</v>
      </c>
      <c r="H76" s="93">
        <f t="shared" si="3"/>
        <v>13500</v>
      </c>
    </row>
    <row r="77" spans="1:8" ht="15" customHeight="1" x14ac:dyDescent="0.3">
      <c r="A77" s="94">
        <v>46209</v>
      </c>
      <c r="B77" s="89" t="s">
        <v>131</v>
      </c>
      <c r="C77" s="92" t="str">
        <f>IFERROR(INDEX(Inventario!$B$5:$B$104,MATCH($B77,Inventario!$A$5:$A$104,0)),"")</f>
        <v>Candado 40 mm</v>
      </c>
      <c r="D77" s="91">
        <v>1</v>
      </c>
      <c r="E77" s="93">
        <f>IFERROR(INDEX(Inventario!$F$5:$F$104,MATCH($B77,Inventario!$A$5:$A$104,0)),"")</f>
        <v>31000</v>
      </c>
      <c r="F77" s="93">
        <f t="shared" si="2"/>
        <v>31000</v>
      </c>
      <c r="G77" s="93">
        <f>IFERROR($D77*INDEX(Inventario!$E$5:$E$104,MATCH($B77,Inventario!$A$5:$A$104,0)),"")</f>
        <v>13500</v>
      </c>
      <c r="H77" s="93">
        <f t="shared" si="3"/>
        <v>17500</v>
      </c>
    </row>
    <row r="78" spans="1:8" ht="15" customHeight="1" x14ac:dyDescent="0.3">
      <c r="A78" s="94">
        <v>46210</v>
      </c>
      <c r="B78" s="89" t="s">
        <v>33</v>
      </c>
      <c r="C78" s="92" t="str">
        <f>IFERROR(INDEX(Inventario!$B$5:$B$104,MATCH($B78,Inventario!$A$5:$A$104,0)),"")</f>
        <v>Tornillo autoperforante 8x1" (unidad)</v>
      </c>
      <c r="D78" s="91">
        <v>65</v>
      </c>
      <c r="E78" s="93">
        <f>IFERROR(INDEX(Inventario!$F$5:$F$104,MATCH($B78,Inventario!$A$5:$A$104,0)),"")</f>
        <v>450</v>
      </c>
      <c r="F78" s="93">
        <f t="shared" si="2"/>
        <v>29250</v>
      </c>
      <c r="G78" s="93">
        <f>IFERROR($D78*INDEX(Inventario!$E$5:$E$104,MATCH($B78,Inventario!$A$5:$A$104,0)),"")</f>
        <v>11700</v>
      </c>
      <c r="H78" s="93">
        <f t="shared" si="3"/>
        <v>17550</v>
      </c>
    </row>
    <row r="79" spans="1:8" ht="15" customHeight="1" x14ac:dyDescent="0.3">
      <c r="A79" s="94">
        <v>46210</v>
      </c>
      <c r="B79" s="89" t="s">
        <v>37</v>
      </c>
      <c r="C79" s="92" t="str">
        <f>IFERROR(INDEX(Inventario!$B$5:$B$104,MATCH($B79,Inventario!$A$5:$A$104,0)),"")</f>
        <v>Tornillo drywall 6x1 1/4" (unidad)</v>
      </c>
      <c r="D79" s="91">
        <v>33</v>
      </c>
      <c r="E79" s="93">
        <f>IFERROR(INDEX(Inventario!$F$5:$F$104,MATCH($B79,Inventario!$A$5:$A$104,0)),"")</f>
        <v>360</v>
      </c>
      <c r="F79" s="93">
        <f t="shared" si="2"/>
        <v>11880</v>
      </c>
      <c r="G79" s="93">
        <f>IFERROR($D79*INDEX(Inventario!$E$5:$E$104,MATCH($B79,Inventario!$A$5:$A$104,0)),"")</f>
        <v>4620</v>
      </c>
      <c r="H79" s="93">
        <f t="shared" si="3"/>
        <v>7260</v>
      </c>
    </row>
    <row r="80" spans="1:8" ht="15" customHeight="1" x14ac:dyDescent="0.3">
      <c r="A80" s="94">
        <v>46210</v>
      </c>
      <c r="B80" s="89" t="s">
        <v>40</v>
      </c>
      <c r="C80" s="92" t="str">
        <f>IFERROR(INDEX(Inventario!$B$5:$B$104,MATCH($B80,Inventario!$A$5:$A$104,0)),"")</f>
        <v>Chazo plástico 3/8" (unidad)</v>
      </c>
      <c r="D80" s="91">
        <v>14</v>
      </c>
      <c r="E80" s="93">
        <f>IFERROR(INDEX(Inventario!$F$5:$F$104,MATCH($B80,Inventario!$A$5:$A$104,0)),"")</f>
        <v>320</v>
      </c>
      <c r="F80" s="93">
        <f t="shared" si="2"/>
        <v>4480</v>
      </c>
      <c r="G80" s="93">
        <f>IFERROR($D80*INDEX(Inventario!$E$5:$E$104,MATCH($B80,Inventario!$A$5:$A$104,0)),"")</f>
        <v>1680</v>
      </c>
      <c r="H80" s="93">
        <f t="shared" si="3"/>
        <v>2800</v>
      </c>
    </row>
    <row r="81" spans="1:8" ht="15" customHeight="1" x14ac:dyDescent="0.3">
      <c r="A81" s="94">
        <v>46210</v>
      </c>
      <c r="B81" s="89" t="s">
        <v>43</v>
      </c>
      <c r="C81" s="92" t="str">
        <f>IFERROR(INDEX(Inventario!$B$5:$B$104,MATCH($B81,Inventario!$A$5:$A$104,0)),"")</f>
        <v>Puntilla 2" libra</v>
      </c>
      <c r="D81" s="91">
        <v>6</v>
      </c>
      <c r="E81" s="93">
        <f>IFERROR(INDEX(Inventario!$F$5:$F$104,MATCH($B81,Inventario!$A$5:$A$104,0)),"")</f>
        <v>7800</v>
      </c>
      <c r="F81" s="93">
        <f t="shared" si="2"/>
        <v>46800</v>
      </c>
      <c r="G81" s="93">
        <f>IFERROR($D81*INDEX(Inventario!$E$5:$E$104,MATCH($B81,Inventario!$A$5:$A$104,0)),"")</f>
        <v>19200</v>
      </c>
      <c r="H81" s="93">
        <f t="shared" si="3"/>
        <v>27600</v>
      </c>
    </row>
    <row r="82" spans="1:8" ht="15" customHeight="1" x14ac:dyDescent="0.3">
      <c r="A82" s="94">
        <v>46210</v>
      </c>
      <c r="B82" s="89" t="s">
        <v>46</v>
      </c>
      <c r="C82" s="92" t="str">
        <f>IFERROR(INDEX(Inventario!$B$5:$B$104,MATCH($B82,Inventario!$A$5:$A$104,0)),"")</f>
        <v>Tuerca hexagonal 1/4" (unidad)</v>
      </c>
      <c r="D82" s="91">
        <v>7</v>
      </c>
      <c r="E82" s="93">
        <f>IFERROR(INDEX(Inventario!$F$5:$F$104,MATCH($B82,Inventario!$A$5:$A$104,0)),"")</f>
        <v>520</v>
      </c>
      <c r="F82" s="93">
        <f t="shared" si="2"/>
        <v>3640</v>
      </c>
      <c r="G82" s="93">
        <f>IFERROR($D82*INDEX(Inventario!$E$5:$E$104,MATCH($B82,Inventario!$A$5:$A$104,0)),"")</f>
        <v>1470</v>
      </c>
      <c r="H82" s="93">
        <f t="shared" si="3"/>
        <v>2170</v>
      </c>
    </row>
    <row r="83" spans="1:8" ht="15" customHeight="1" x14ac:dyDescent="0.3">
      <c r="A83" s="94">
        <v>46210</v>
      </c>
      <c r="B83" s="89" t="s">
        <v>54</v>
      </c>
      <c r="C83" s="92" t="str">
        <f>IFERROR(INDEX(Inventario!$B$5:$B$104,MATCH($B83,Inventario!$A$5:$A$104,0)),"")</f>
        <v>Alicate universal 8"</v>
      </c>
      <c r="D83" s="91">
        <v>1</v>
      </c>
      <c r="E83" s="93">
        <f>IFERROR(INDEX(Inventario!$F$5:$F$104,MATCH($B83,Inventario!$A$5:$A$104,0)),"")</f>
        <v>36500</v>
      </c>
      <c r="F83" s="93">
        <f t="shared" si="2"/>
        <v>36500</v>
      </c>
      <c r="G83" s="93">
        <f>IFERROR($D83*INDEX(Inventario!$E$5:$E$104,MATCH($B83,Inventario!$A$5:$A$104,0)),"")</f>
        <v>14800</v>
      </c>
      <c r="H83" s="93">
        <f t="shared" si="3"/>
        <v>21700</v>
      </c>
    </row>
    <row r="84" spans="1:8" ht="15" customHeight="1" x14ac:dyDescent="0.3">
      <c r="A84" s="94">
        <v>46210</v>
      </c>
      <c r="B84" s="89" t="s">
        <v>65</v>
      </c>
      <c r="C84" s="92" t="str">
        <f>IFERROR(INDEX(Inventario!$B$5:$B$104,MATCH($B84,Inventario!$A$5:$A$104,0)),"")</f>
        <v>Pintura vinilo tipo 1 galón colores</v>
      </c>
      <c r="D84" s="91">
        <v>1</v>
      </c>
      <c r="E84" s="93">
        <f>IFERROR(INDEX(Inventario!$F$5:$F$104,MATCH($B84,Inventario!$A$5:$A$104,0)),"")</f>
        <v>86000</v>
      </c>
      <c r="F84" s="93">
        <f t="shared" si="2"/>
        <v>86000</v>
      </c>
      <c r="G84" s="93">
        <f>IFERROR($D84*INDEX(Inventario!$E$5:$E$104,MATCH($B84,Inventario!$A$5:$A$104,0)),"")</f>
        <v>41000</v>
      </c>
      <c r="H84" s="93">
        <f t="shared" si="3"/>
        <v>45000</v>
      </c>
    </row>
    <row r="85" spans="1:8" ht="15" customHeight="1" x14ac:dyDescent="0.3">
      <c r="A85" s="94">
        <v>46210</v>
      </c>
      <c r="B85" s="89" t="s">
        <v>73</v>
      </c>
      <c r="C85" s="92" t="str">
        <f>IFERROR(INDEX(Inventario!$B$5:$B$104,MATCH($B85,Inventario!$A$5:$A$104,0)),"")</f>
        <v>Lija agua #150 (pliego)</v>
      </c>
      <c r="D85" s="91">
        <v>5</v>
      </c>
      <c r="E85" s="93">
        <f>IFERROR(INDEX(Inventario!$F$5:$F$104,MATCH($B85,Inventario!$A$5:$A$104,0)),"")</f>
        <v>2500</v>
      </c>
      <c r="F85" s="93">
        <f t="shared" si="2"/>
        <v>12500</v>
      </c>
      <c r="G85" s="93">
        <f>IFERROR($D85*INDEX(Inventario!$E$5:$E$104,MATCH($B85,Inventario!$A$5:$A$104,0)),"")</f>
        <v>4500</v>
      </c>
      <c r="H85" s="93">
        <f t="shared" si="3"/>
        <v>8000</v>
      </c>
    </row>
    <row r="86" spans="1:8" ht="15" customHeight="1" x14ac:dyDescent="0.3">
      <c r="A86" s="94">
        <v>46210</v>
      </c>
      <c r="B86" s="89" t="s">
        <v>77</v>
      </c>
      <c r="C86" s="92" t="str">
        <f>IFERROR(INDEX(Inventario!$B$5:$B$104,MATCH($B86,Inventario!$A$5:$A$104,0)),"")</f>
        <v>Cable dúplex 2x14 (metro)</v>
      </c>
      <c r="D86" s="91">
        <v>11</v>
      </c>
      <c r="E86" s="93">
        <f>IFERROR(INDEX(Inventario!$F$5:$F$104,MATCH($B86,Inventario!$A$5:$A$104,0)),"")</f>
        <v>5900</v>
      </c>
      <c r="F86" s="93">
        <f t="shared" si="2"/>
        <v>64900</v>
      </c>
      <c r="G86" s="93">
        <f>IFERROR($D86*INDEX(Inventario!$E$5:$E$104,MATCH($B86,Inventario!$A$5:$A$104,0)),"")</f>
        <v>26400</v>
      </c>
      <c r="H86" s="93">
        <f t="shared" si="3"/>
        <v>38500</v>
      </c>
    </row>
    <row r="87" spans="1:8" ht="15" customHeight="1" x14ac:dyDescent="0.3">
      <c r="A87" s="94">
        <v>46210</v>
      </c>
      <c r="B87" s="89" t="s">
        <v>84</v>
      </c>
      <c r="C87" s="92" t="str">
        <f>IFERROR(INDEX(Inventario!$B$5:$B$104,MATCH($B87,Inventario!$A$5:$A$104,0)),"")</f>
        <v>Bombillo LED 9 W</v>
      </c>
      <c r="D87" s="91">
        <v>6</v>
      </c>
      <c r="E87" s="93">
        <f>IFERROR(INDEX(Inventario!$F$5:$F$104,MATCH($B87,Inventario!$A$5:$A$104,0)),"")</f>
        <v>12900</v>
      </c>
      <c r="F87" s="93">
        <f t="shared" si="2"/>
        <v>77400</v>
      </c>
      <c r="G87" s="93">
        <f>IFERROR($D87*INDEX(Inventario!$E$5:$E$104,MATCH($B87,Inventario!$A$5:$A$104,0)),"")</f>
        <v>29400</v>
      </c>
      <c r="H87" s="93">
        <f t="shared" si="3"/>
        <v>48000</v>
      </c>
    </row>
    <row r="88" spans="1:8" ht="15" customHeight="1" x14ac:dyDescent="0.3">
      <c r="A88" s="94">
        <v>46210</v>
      </c>
      <c r="B88" s="89" t="s">
        <v>93</v>
      </c>
      <c r="C88" s="92" t="str">
        <f>IFERROR(INDEX(Inventario!$B$5:$B$104,MATCH($B88,Inventario!$A$5:$A$104,0)),"")</f>
        <v>Codo PVC 1/2" 90°</v>
      </c>
      <c r="D88" s="91">
        <v>6</v>
      </c>
      <c r="E88" s="93">
        <f>IFERROR(INDEX(Inventario!$F$5:$F$104,MATCH($B88,Inventario!$A$5:$A$104,0)),"")</f>
        <v>2400</v>
      </c>
      <c r="F88" s="93">
        <f t="shared" si="2"/>
        <v>14400</v>
      </c>
      <c r="G88" s="93">
        <f>IFERROR($D88*INDEX(Inventario!$E$5:$E$104,MATCH($B88,Inventario!$A$5:$A$104,0)),"")</f>
        <v>4800</v>
      </c>
      <c r="H88" s="93">
        <f t="shared" si="3"/>
        <v>9600</v>
      </c>
    </row>
    <row r="89" spans="1:8" ht="15" customHeight="1" x14ac:dyDescent="0.3">
      <c r="A89" s="94">
        <v>46210</v>
      </c>
      <c r="B89" s="89" t="s">
        <v>101</v>
      </c>
      <c r="C89" s="92" t="str">
        <f>IFERROR(INDEX(Inventario!$B$5:$B$104,MATCH($B89,Inventario!$A$5:$A$104,0)),"")</f>
        <v>Resma papel carta 75 g</v>
      </c>
      <c r="D89" s="91">
        <v>1</v>
      </c>
      <c r="E89" s="93">
        <f>IFERROR(INDEX(Inventario!$F$5:$F$104,MATCH($B89,Inventario!$A$5:$A$104,0)),"")</f>
        <v>22900</v>
      </c>
      <c r="F89" s="93">
        <f t="shared" si="2"/>
        <v>22900</v>
      </c>
      <c r="G89" s="93">
        <f>IFERROR($D89*INDEX(Inventario!$E$5:$E$104,MATCH($B89,Inventario!$A$5:$A$104,0)),"")</f>
        <v>13800</v>
      </c>
      <c r="H89" s="93">
        <f t="shared" si="3"/>
        <v>9100</v>
      </c>
    </row>
    <row r="90" spans="1:8" ht="15" customHeight="1" x14ac:dyDescent="0.3">
      <c r="A90" s="94">
        <v>46210</v>
      </c>
      <c r="B90" s="89" t="s">
        <v>104</v>
      </c>
      <c r="C90" s="92" t="str">
        <f>IFERROR(INDEX(Inventario!$B$5:$B$104,MATCH($B90,Inventario!$A$5:$A$104,0)),"")</f>
        <v>Resma papel oficio 75 g</v>
      </c>
      <c r="D90" s="91">
        <v>1</v>
      </c>
      <c r="E90" s="93">
        <f>IFERROR(INDEX(Inventario!$F$5:$F$104,MATCH($B90,Inventario!$A$5:$A$104,0)),"")</f>
        <v>25900</v>
      </c>
      <c r="F90" s="93">
        <f t="shared" si="2"/>
        <v>25900</v>
      </c>
      <c r="G90" s="93">
        <f>IFERROR($D90*INDEX(Inventario!$E$5:$E$104,MATCH($B90,Inventario!$A$5:$A$104,0)),"")</f>
        <v>15200</v>
      </c>
      <c r="H90" s="93">
        <f t="shared" si="3"/>
        <v>10700</v>
      </c>
    </row>
    <row r="91" spans="1:8" ht="15" customHeight="1" x14ac:dyDescent="0.3">
      <c r="A91" s="94">
        <v>46210</v>
      </c>
      <c r="B91" s="89" t="s">
        <v>108</v>
      </c>
      <c r="C91" s="92" t="str">
        <f>IFERROR(INDEX(Inventario!$B$5:$B$104,MATCH($B91,Inventario!$A$5:$A$104,0)),"")</f>
        <v>Lapicero tinta negra (unidad)</v>
      </c>
      <c r="D91" s="91">
        <v>10</v>
      </c>
      <c r="E91" s="93">
        <f>IFERROR(INDEX(Inventario!$F$5:$F$104,MATCH($B91,Inventario!$A$5:$A$104,0)),"")</f>
        <v>1800</v>
      </c>
      <c r="F91" s="93">
        <f t="shared" si="2"/>
        <v>18000</v>
      </c>
      <c r="G91" s="93">
        <f>IFERROR($D91*INDEX(Inventario!$E$5:$E$104,MATCH($B91,Inventario!$A$5:$A$104,0)),"")</f>
        <v>6000</v>
      </c>
      <c r="H91" s="93">
        <f t="shared" si="3"/>
        <v>12000</v>
      </c>
    </row>
    <row r="92" spans="1:8" ht="15" customHeight="1" x14ac:dyDescent="0.3">
      <c r="A92" s="94">
        <v>46210</v>
      </c>
      <c r="B92" s="89" t="s">
        <v>114</v>
      </c>
      <c r="C92" s="92" t="str">
        <f>IFERROR(INDEX(Inventario!$B$5:$B$104,MATCH($B92,Inventario!$A$5:$A$104,0)),"")</f>
        <v>Cinta pegante 48 mm</v>
      </c>
      <c r="D92" s="91">
        <v>2</v>
      </c>
      <c r="E92" s="93">
        <f>IFERROR(INDEX(Inventario!$F$5:$F$104,MATCH($B92,Inventario!$A$5:$A$104,0)),"")</f>
        <v>5900</v>
      </c>
      <c r="F92" s="93">
        <f t="shared" si="2"/>
        <v>11800</v>
      </c>
      <c r="G92" s="93">
        <f>IFERROR($D92*INDEX(Inventario!$E$5:$E$104,MATCH($B92,Inventario!$A$5:$A$104,0)),"")</f>
        <v>4400</v>
      </c>
      <c r="H92" s="93">
        <f t="shared" si="3"/>
        <v>7400</v>
      </c>
    </row>
    <row r="93" spans="1:8" ht="15" customHeight="1" x14ac:dyDescent="0.3">
      <c r="A93" s="94">
        <v>46210</v>
      </c>
      <c r="B93" s="89" t="s">
        <v>120</v>
      </c>
      <c r="C93" s="92" t="str">
        <f>IFERROR(INDEX(Inventario!$B$5:$B$104,MATCH($B93,Inventario!$A$5:$A$104,0)),"")</f>
        <v>Escoba plástica con cabo</v>
      </c>
      <c r="D93" s="91">
        <v>1</v>
      </c>
      <c r="E93" s="93">
        <f>IFERROR(INDEX(Inventario!$F$5:$F$104,MATCH($B93,Inventario!$A$5:$A$104,0)),"")</f>
        <v>19500</v>
      </c>
      <c r="F93" s="93">
        <f t="shared" si="2"/>
        <v>19500</v>
      </c>
      <c r="G93" s="93">
        <f>IFERROR($D93*INDEX(Inventario!$E$5:$E$104,MATCH($B93,Inventario!$A$5:$A$104,0)),"")</f>
        <v>8200</v>
      </c>
      <c r="H93" s="93">
        <f t="shared" si="3"/>
        <v>11300</v>
      </c>
    </row>
    <row r="94" spans="1:8" ht="15" customHeight="1" x14ac:dyDescent="0.3">
      <c r="A94" s="94">
        <v>46211</v>
      </c>
      <c r="B94" s="89" t="s">
        <v>33</v>
      </c>
      <c r="C94" s="92" t="str">
        <f>IFERROR(INDEX(Inventario!$B$5:$B$104,MATCH($B94,Inventario!$A$5:$A$104,0)),"")</f>
        <v>Tornillo autoperforante 8x1" (unidad)</v>
      </c>
      <c r="D94" s="91">
        <v>32</v>
      </c>
      <c r="E94" s="93">
        <f>IFERROR(INDEX(Inventario!$F$5:$F$104,MATCH($B94,Inventario!$A$5:$A$104,0)),"")</f>
        <v>450</v>
      </c>
      <c r="F94" s="93">
        <f t="shared" si="2"/>
        <v>14400</v>
      </c>
      <c r="G94" s="93">
        <f>IFERROR($D94*INDEX(Inventario!$E$5:$E$104,MATCH($B94,Inventario!$A$5:$A$104,0)),"")</f>
        <v>5760</v>
      </c>
      <c r="H94" s="93">
        <f t="shared" si="3"/>
        <v>8640</v>
      </c>
    </row>
    <row r="95" spans="1:8" ht="15" customHeight="1" x14ac:dyDescent="0.3">
      <c r="A95" s="94">
        <v>46211</v>
      </c>
      <c r="B95" s="89" t="s">
        <v>37</v>
      </c>
      <c r="C95" s="92" t="str">
        <f>IFERROR(INDEX(Inventario!$B$5:$B$104,MATCH($B95,Inventario!$A$5:$A$104,0)),"")</f>
        <v>Tornillo drywall 6x1 1/4" (unidad)</v>
      </c>
      <c r="D95" s="91">
        <v>18</v>
      </c>
      <c r="E95" s="93">
        <f>IFERROR(INDEX(Inventario!$F$5:$F$104,MATCH($B95,Inventario!$A$5:$A$104,0)),"")</f>
        <v>360</v>
      </c>
      <c r="F95" s="93">
        <f t="shared" si="2"/>
        <v>6480</v>
      </c>
      <c r="G95" s="93">
        <f>IFERROR($D95*INDEX(Inventario!$E$5:$E$104,MATCH($B95,Inventario!$A$5:$A$104,0)),"")</f>
        <v>2520</v>
      </c>
      <c r="H95" s="93">
        <f t="shared" si="3"/>
        <v>3960</v>
      </c>
    </row>
    <row r="96" spans="1:8" ht="15" customHeight="1" x14ac:dyDescent="0.3">
      <c r="A96" s="94">
        <v>46211</v>
      </c>
      <c r="B96" s="89" t="s">
        <v>40</v>
      </c>
      <c r="C96" s="92" t="str">
        <f>IFERROR(INDEX(Inventario!$B$5:$B$104,MATCH($B96,Inventario!$A$5:$A$104,0)),"")</f>
        <v>Chazo plástico 3/8" (unidad)</v>
      </c>
      <c r="D96" s="91">
        <v>25</v>
      </c>
      <c r="E96" s="93">
        <f>IFERROR(INDEX(Inventario!$F$5:$F$104,MATCH($B96,Inventario!$A$5:$A$104,0)),"")</f>
        <v>320</v>
      </c>
      <c r="F96" s="93">
        <f t="shared" si="2"/>
        <v>8000</v>
      </c>
      <c r="G96" s="93">
        <f>IFERROR($D96*INDEX(Inventario!$E$5:$E$104,MATCH($B96,Inventario!$A$5:$A$104,0)),"")</f>
        <v>3000</v>
      </c>
      <c r="H96" s="93">
        <f t="shared" si="3"/>
        <v>5000</v>
      </c>
    </row>
    <row r="97" spans="1:8" ht="15" customHeight="1" x14ac:dyDescent="0.3">
      <c r="A97" s="94">
        <v>46211</v>
      </c>
      <c r="B97" s="89" t="s">
        <v>43</v>
      </c>
      <c r="C97" s="92" t="str">
        <f>IFERROR(INDEX(Inventario!$B$5:$B$104,MATCH($B97,Inventario!$A$5:$A$104,0)),"")</f>
        <v>Puntilla 2" libra</v>
      </c>
      <c r="D97" s="91">
        <v>7</v>
      </c>
      <c r="E97" s="93">
        <f>IFERROR(INDEX(Inventario!$F$5:$F$104,MATCH($B97,Inventario!$A$5:$A$104,0)),"")</f>
        <v>7800</v>
      </c>
      <c r="F97" s="93">
        <f t="shared" si="2"/>
        <v>54600</v>
      </c>
      <c r="G97" s="93">
        <f>IFERROR($D97*INDEX(Inventario!$E$5:$E$104,MATCH($B97,Inventario!$A$5:$A$104,0)),"")</f>
        <v>22400</v>
      </c>
      <c r="H97" s="93">
        <f t="shared" si="3"/>
        <v>32200</v>
      </c>
    </row>
    <row r="98" spans="1:8" ht="15" customHeight="1" x14ac:dyDescent="0.3">
      <c r="A98" s="94">
        <v>46211</v>
      </c>
      <c r="B98" s="89" t="s">
        <v>46</v>
      </c>
      <c r="C98" s="92" t="str">
        <f>IFERROR(INDEX(Inventario!$B$5:$B$104,MATCH($B98,Inventario!$A$5:$A$104,0)),"")</f>
        <v>Tuerca hexagonal 1/4" (unidad)</v>
      </c>
      <c r="D98" s="91">
        <v>10</v>
      </c>
      <c r="E98" s="93">
        <f>IFERROR(INDEX(Inventario!$F$5:$F$104,MATCH($B98,Inventario!$A$5:$A$104,0)),"")</f>
        <v>520</v>
      </c>
      <c r="F98" s="93">
        <f t="shared" si="2"/>
        <v>5200</v>
      </c>
      <c r="G98" s="93">
        <f>IFERROR($D98*INDEX(Inventario!$E$5:$E$104,MATCH($B98,Inventario!$A$5:$A$104,0)),"")</f>
        <v>2100</v>
      </c>
      <c r="H98" s="93">
        <f t="shared" si="3"/>
        <v>3100</v>
      </c>
    </row>
    <row r="99" spans="1:8" ht="15" customHeight="1" x14ac:dyDescent="0.3">
      <c r="A99" s="94">
        <v>46211</v>
      </c>
      <c r="B99" s="89" t="s">
        <v>69</v>
      </c>
      <c r="C99" s="92" t="str">
        <f>IFERROR(INDEX(Inventario!$B$5:$B$104,MATCH($B99,Inventario!$A$5:$A$104,0)),"")</f>
        <v>Brocha 3"</v>
      </c>
      <c r="D99" s="91">
        <v>3</v>
      </c>
      <c r="E99" s="93">
        <f>IFERROR(INDEX(Inventario!$F$5:$F$104,MATCH($B99,Inventario!$A$5:$A$104,0)),"")</f>
        <v>12500</v>
      </c>
      <c r="F99" s="93">
        <f t="shared" si="2"/>
        <v>37500</v>
      </c>
      <c r="G99" s="93">
        <f>IFERROR($D99*INDEX(Inventario!$E$5:$E$104,MATCH($B99,Inventario!$A$5:$A$104,0)),"")</f>
        <v>14400</v>
      </c>
      <c r="H99" s="93">
        <f t="shared" si="3"/>
        <v>23100</v>
      </c>
    </row>
    <row r="100" spans="1:8" ht="15" customHeight="1" x14ac:dyDescent="0.3">
      <c r="A100" s="94">
        <v>46211</v>
      </c>
      <c r="B100" s="89" t="s">
        <v>73</v>
      </c>
      <c r="C100" s="92" t="str">
        <f>IFERROR(INDEX(Inventario!$B$5:$B$104,MATCH($B100,Inventario!$A$5:$A$104,0)),"")</f>
        <v>Lija agua #150 (pliego)</v>
      </c>
      <c r="D100" s="91">
        <v>5</v>
      </c>
      <c r="E100" s="93">
        <f>IFERROR(INDEX(Inventario!$F$5:$F$104,MATCH($B100,Inventario!$A$5:$A$104,0)),"")</f>
        <v>2500</v>
      </c>
      <c r="F100" s="93">
        <f t="shared" si="2"/>
        <v>12500</v>
      </c>
      <c r="G100" s="93">
        <f>IFERROR($D100*INDEX(Inventario!$E$5:$E$104,MATCH($B100,Inventario!$A$5:$A$104,0)),"")</f>
        <v>4500</v>
      </c>
      <c r="H100" s="93">
        <f t="shared" si="3"/>
        <v>8000</v>
      </c>
    </row>
    <row r="101" spans="1:8" ht="15" customHeight="1" x14ac:dyDescent="0.3">
      <c r="A101" s="94">
        <v>46211</v>
      </c>
      <c r="B101" s="89" t="s">
        <v>77</v>
      </c>
      <c r="C101" s="92" t="str">
        <f>IFERROR(INDEX(Inventario!$B$5:$B$104,MATCH($B101,Inventario!$A$5:$A$104,0)),"")</f>
        <v>Cable dúplex 2x14 (metro)</v>
      </c>
      <c r="D101" s="91">
        <v>15</v>
      </c>
      <c r="E101" s="93">
        <f>IFERROR(INDEX(Inventario!$F$5:$F$104,MATCH($B101,Inventario!$A$5:$A$104,0)),"")</f>
        <v>5900</v>
      </c>
      <c r="F101" s="93">
        <f t="shared" si="2"/>
        <v>88500</v>
      </c>
      <c r="G101" s="93">
        <f>IFERROR($D101*INDEX(Inventario!$E$5:$E$104,MATCH($B101,Inventario!$A$5:$A$104,0)),"")</f>
        <v>36000</v>
      </c>
      <c r="H101" s="93">
        <f t="shared" si="3"/>
        <v>52500</v>
      </c>
    </row>
    <row r="102" spans="1:8" ht="15" customHeight="1" x14ac:dyDescent="0.3">
      <c r="A102" s="94">
        <v>46211</v>
      </c>
      <c r="B102" s="89" t="s">
        <v>84</v>
      </c>
      <c r="C102" s="92" t="str">
        <f>IFERROR(INDEX(Inventario!$B$5:$B$104,MATCH($B102,Inventario!$A$5:$A$104,0)),"")</f>
        <v>Bombillo LED 9 W</v>
      </c>
      <c r="D102" s="91">
        <v>4</v>
      </c>
      <c r="E102" s="93">
        <f>IFERROR(INDEX(Inventario!$F$5:$F$104,MATCH($B102,Inventario!$A$5:$A$104,0)),"")</f>
        <v>12900</v>
      </c>
      <c r="F102" s="93">
        <f t="shared" si="2"/>
        <v>51600</v>
      </c>
      <c r="G102" s="93">
        <f>IFERROR($D102*INDEX(Inventario!$E$5:$E$104,MATCH($B102,Inventario!$A$5:$A$104,0)),"")</f>
        <v>19600</v>
      </c>
      <c r="H102" s="93">
        <f t="shared" si="3"/>
        <v>32000</v>
      </c>
    </row>
    <row r="103" spans="1:8" ht="15" customHeight="1" x14ac:dyDescent="0.3">
      <c r="A103" s="94">
        <v>46211</v>
      </c>
      <c r="B103" s="89" t="s">
        <v>93</v>
      </c>
      <c r="C103" s="92" t="str">
        <f>IFERROR(INDEX(Inventario!$B$5:$B$104,MATCH($B103,Inventario!$A$5:$A$104,0)),"")</f>
        <v>Codo PVC 1/2" 90°</v>
      </c>
      <c r="D103" s="91">
        <v>5</v>
      </c>
      <c r="E103" s="93">
        <f>IFERROR(INDEX(Inventario!$F$5:$F$104,MATCH($B103,Inventario!$A$5:$A$104,0)),"")</f>
        <v>2400</v>
      </c>
      <c r="F103" s="93">
        <f t="shared" si="2"/>
        <v>12000</v>
      </c>
      <c r="G103" s="93">
        <f>IFERROR($D103*INDEX(Inventario!$E$5:$E$104,MATCH($B103,Inventario!$A$5:$A$104,0)),"")</f>
        <v>4000</v>
      </c>
      <c r="H103" s="93">
        <f t="shared" si="3"/>
        <v>8000</v>
      </c>
    </row>
    <row r="104" spans="1:8" ht="15" customHeight="1" x14ac:dyDescent="0.3">
      <c r="A104" s="94">
        <v>46211</v>
      </c>
      <c r="B104" s="89" t="s">
        <v>95</v>
      </c>
      <c r="C104" s="92" t="str">
        <f>IFERROR(INDEX(Inventario!$B$5:$B$104,MATCH($B104,Inventario!$A$5:$A$104,0)),"")</f>
        <v>Teflón 1/2" rollo</v>
      </c>
      <c r="D104" s="91">
        <v>7</v>
      </c>
      <c r="E104" s="93">
        <f>IFERROR(INDEX(Inventario!$F$5:$F$104,MATCH($B104,Inventario!$A$5:$A$104,0)),"")</f>
        <v>2600</v>
      </c>
      <c r="F104" s="93">
        <f t="shared" si="2"/>
        <v>18200</v>
      </c>
      <c r="G104" s="93">
        <f>IFERROR($D104*INDEX(Inventario!$E$5:$E$104,MATCH($B104,Inventario!$A$5:$A$104,0)),"")</f>
        <v>6300</v>
      </c>
      <c r="H104" s="93">
        <f t="shared" si="3"/>
        <v>11900</v>
      </c>
    </row>
    <row r="105" spans="1:8" ht="15" customHeight="1" x14ac:dyDescent="0.3">
      <c r="A105" s="94">
        <v>46211</v>
      </c>
      <c r="B105" s="89" t="s">
        <v>101</v>
      </c>
      <c r="C105" s="92" t="str">
        <f>IFERROR(INDEX(Inventario!$B$5:$B$104,MATCH($B105,Inventario!$A$5:$A$104,0)),"")</f>
        <v>Resma papel carta 75 g</v>
      </c>
      <c r="D105" s="91">
        <v>1</v>
      </c>
      <c r="E105" s="93">
        <f>IFERROR(INDEX(Inventario!$F$5:$F$104,MATCH($B105,Inventario!$A$5:$A$104,0)),"")</f>
        <v>22900</v>
      </c>
      <c r="F105" s="93">
        <f t="shared" si="2"/>
        <v>22900</v>
      </c>
      <c r="G105" s="93">
        <f>IFERROR($D105*INDEX(Inventario!$E$5:$E$104,MATCH($B105,Inventario!$A$5:$A$104,0)),"")</f>
        <v>13800</v>
      </c>
      <c r="H105" s="93">
        <f t="shared" si="3"/>
        <v>9100</v>
      </c>
    </row>
    <row r="106" spans="1:8" ht="15" customHeight="1" x14ac:dyDescent="0.3">
      <c r="A106" s="94">
        <v>46211</v>
      </c>
      <c r="B106" s="89" t="s">
        <v>106</v>
      </c>
      <c r="C106" s="92" t="str">
        <f>IFERROR(INDEX(Inventario!$B$5:$B$104,MATCH($B106,Inventario!$A$5:$A$104,0)),"")</f>
        <v>Cuaderno cuadriculado 100 hojas</v>
      </c>
      <c r="D106" s="91">
        <v>3</v>
      </c>
      <c r="E106" s="93">
        <f>IFERROR(INDEX(Inventario!$F$5:$F$104,MATCH($B106,Inventario!$A$5:$A$104,0)),"")</f>
        <v>6500</v>
      </c>
      <c r="F106" s="93">
        <f t="shared" si="2"/>
        <v>19500</v>
      </c>
      <c r="G106" s="93">
        <f>IFERROR($D106*INDEX(Inventario!$E$5:$E$104,MATCH($B106,Inventario!$A$5:$A$104,0)),"")</f>
        <v>8400</v>
      </c>
      <c r="H106" s="93">
        <f t="shared" si="3"/>
        <v>11100</v>
      </c>
    </row>
    <row r="107" spans="1:8" ht="15" customHeight="1" x14ac:dyDescent="0.3">
      <c r="A107" s="94">
        <v>46211</v>
      </c>
      <c r="B107" s="89" t="s">
        <v>108</v>
      </c>
      <c r="C107" s="92" t="str">
        <f>IFERROR(INDEX(Inventario!$B$5:$B$104,MATCH($B107,Inventario!$A$5:$A$104,0)),"")</f>
        <v>Lapicero tinta negra (unidad)</v>
      </c>
      <c r="D107" s="91">
        <v>11</v>
      </c>
      <c r="E107" s="93">
        <f>IFERROR(INDEX(Inventario!$F$5:$F$104,MATCH($B107,Inventario!$A$5:$A$104,0)),"")</f>
        <v>1800</v>
      </c>
      <c r="F107" s="93">
        <f t="shared" si="2"/>
        <v>19800</v>
      </c>
      <c r="G107" s="93">
        <f>IFERROR($D107*INDEX(Inventario!$E$5:$E$104,MATCH($B107,Inventario!$A$5:$A$104,0)),"")</f>
        <v>6600</v>
      </c>
      <c r="H107" s="93">
        <f t="shared" si="3"/>
        <v>13200</v>
      </c>
    </row>
    <row r="108" spans="1:8" ht="15" customHeight="1" x14ac:dyDescent="0.3">
      <c r="A108" s="94">
        <v>46211</v>
      </c>
      <c r="B108" s="89" t="s">
        <v>110</v>
      </c>
      <c r="C108" s="92" t="str">
        <f>IFERROR(INDEX(Inventario!$B$5:$B$104,MATCH($B108,Inventario!$A$5:$A$104,0)),"")</f>
        <v>Marcador borrable (unidad)</v>
      </c>
      <c r="D108" s="91">
        <v>2</v>
      </c>
      <c r="E108" s="93">
        <f>IFERROR(INDEX(Inventario!$F$5:$F$104,MATCH($B108,Inventario!$A$5:$A$104,0)),"")</f>
        <v>4900</v>
      </c>
      <c r="F108" s="93">
        <f t="shared" si="2"/>
        <v>9800</v>
      </c>
      <c r="G108" s="93">
        <f>IFERROR($D108*INDEX(Inventario!$E$5:$E$104,MATCH($B108,Inventario!$A$5:$A$104,0)),"")</f>
        <v>3800</v>
      </c>
      <c r="H108" s="93">
        <f t="shared" si="3"/>
        <v>6000</v>
      </c>
    </row>
    <row r="109" spans="1:8" ht="15" customHeight="1" x14ac:dyDescent="0.3">
      <c r="A109" s="94">
        <v>46211</v>
      </c>
      <c r="B109" s="89" t="s">
        <v>112</v>
      </c>
      <c r="C109" s="92" t="str">
        <f>IFERROR(INDEX(Inventario!$B$5:$B$104,MATCH($B109,Inventario!$A$5:$A$104,0)),"")</f>
        <v>Carpeta legajadora (unidad)</v>
      </c>
      <c r="D109" s="91">
        <v>6</v>
      </c>
      <c r="E109" s="93">
        <f>IFERROR(INDEX(Inventario!$F$5:$F$104,MATCH($B109,Inventario!$A$5:$A$104,0)),"")</f>
        <v>2200</v>
      </c>
      <c r="F109" s="93">
        <f t="shared" si="2"/>
        <v>13200</v>
      </c>
      <c r="G109" s="93">
        <f>IFERROR($D109*INDEX(Inventario!$E$5:$E$104,MATCH($B109,Inventario!$A$5:$A$104,0)),"")</f>
        <v>4200</v>
      </c>
      <c r="H109" s="93">
        <f t="shared" si="3"/>
        <v>9000</v>
      </c>
    </row>
    <row r="110" spans="1:8" ht="15" customHeight="1" x14ac:dyDescent="0.3">
      <c r="A110" s="94">
        <v>46211</v>
      </c>
      <c r="B110" s="89" t="s">
        <v>127</v>
      </c>
      <c r="C110" s="92" t="str">
        <f>IFERROR(INDEX(Inventario!$B$5:$B$104,MATCH($B110,Inventario!$A$5:$A$104,0)),"")</f>
        <v>Bolsa basura 55x60 x10 und</v>
      </c>
      <c r="D110" s="91">
        <v>2</v>
      </c>
      <c r="E110" s="93">
        <f>IFERROR(INDEX(Inventario!$F$5:$F$104,MATCH($B110,Inventario!$A$5:$A$104,0)),"")</f>
        <v>7200</v>
      </c>
      <c r="F110" s="93">
        <f t="shared" si="2"/>
        <v>14400</v>
      </c>
      <c r="G110" s="93">
        <f>IFERROR($D110*INDEX(Inventario!$E$5:$E$104,MATCH($B110,Inventario!$A$5:$A$104,0)),"")</f>
        <v>5800</v>
      </c>
      <c r="H110" s="93">
        <f t="shared" si="3"/>
        <v>8600</v>
      </c>
    </row>
    <row r="111" spans="1:8" ht="15" customHeight="1" x14ac:dyDescent="0.3">
      <c r="A111" s="94">
        <v>46212</v>
      </c>
      <c r="B111" s="89" t="s">
        <v>33</v>
      </c>
      <c r="C111" s="92" t="str">
        <f>IFERROR(INDEX(Inventario!$B$5:$B$104,MATCH($B111,Inventario!$A$5:$A$104,0)),"")</f>
        <v>Tornillo autoperforante 8x1" (unidad)</v>
      </c>
      <c r="D111" s="91">
        <v>11</v>
      </c>
      <c r="E111" s="93">
        <f>IFERROR(INDEX(Inventario!$F$5:$F$104,MATCH($B111,Inventario!$A$5:$A$104,0)),"")</f>
        <v>450</v>
      </c>
      <c r="F111" s="93">
        <f t="shared" si="2"/>
        <v>4950</v>
      </c>
      <c r="G111" s="93">
        <f>IFERROR($D111*INDEX(Inventario!$E$5:$E$104,MATCH($B111,Inventario!$A$5:$A$104,0)),"")</f>
        <v>1980</v>
      </c>
      <c r="H111" s="93">
        <f t="shared" si="3"/>
        <v>2970</v>
      </c>
    </row>
    <row r="112" spans="1:8" ht="15" customHeight="1" x14ac:dyDescent="0.3">
      <c r="A112" s="94">
        <v>46212</v>
      </c>
      <c r="B112" s="89" t="s">
        <v>37</v>
      </c>
      <c r="C112" s="92" t="str">
        <f>IFERROR(INDEX(Inventario!$B$5:$B$104,MATCH($B112,Inventario!$A$5:$A$104,0)),"")</f>
        <v>Tornillo drywall 6x1 1/4" (unidad)</v>
      </c>
      <c r="D112" s="91">
        <v>46</v>
      </c>
      <c r="E112" s="93">
        <f>IFERROR(INDEX(Inventario!$F$5:$F$104,MATCH($B112,Inventario!$A$5:$A$104,0)),"")</f>
        <v>360</v>
      </c>
      <c r="F112" s="93">
        <f t="shared" si="2"/>
        <v>16560</v>
      </c>
      <c r="G112" s="93">
        <f>IFERROR($D112*INDEX(Inventario!$E$5:$E$104,MATCH($B112,Inventario!$A$5:$A$104,0)),"")</f>
        <v>6440</v>
      </c>
      <c r="H112" s="93">
        <f t="shared" si="3"/>
        <v>10120</v>
      </c>
    </row>
    <row r="113" spans="1:8" ht="15" customHeight="1" x14ac:dyDescent="0.3">
      <c r="A113" s="94">
        <v>46212</v>
      </c>
      <c r="B113" s="89" t="s">
        <v>40</v>
      </c>
      <c r="C113" s="92" t="str">
        <f>IFERROR(INDEX(Inventario!$B$5:$B$104,MATCH($B113,Inventario!$A$5:$A$104,0)),"")</f>
        <v>Chazo plástico 3/8" (unidad)</v>
      </c>
      <c r="D113" s="91">
        <v>35</v>
      </c>
      <c r="E113" s="93">
        <f>IFERROR(INDEX(Inventario!$F$5:$F$104,MATCH($B113,Inventario!$A$5:$A$104,0)),"")</f>
        <v>320</v>
      </c>
      <c r="F113" s="93">
        <f t="shared" si="2"/>
        <v>11200</v>
      </c>
      <c r="G113" s="93">
        <f>IFERROR($D113*INDEX(Inventario!$E$5:$E$104,MATCH($B113,Inventario!$A$5:$A$104,0)),"")</f>
        <v>4200</v>
      </c>
      <c r="H113" s="93">
        <f t="shared" si="3"/>
        <v>7000</v>
      </c>
    </row>
    <row r="114" spans="1:8" ht="15" customHeight="1" x14ac:dyDescent="0.3">
      <c r="A114" s="94">
        <v>46212</v>
      </c>
      <c r="B114" s="89" t="s">
        <v>49</v>
      </c>
      <c r="C114" s="92" t="str">
        <f>IFERROR(INDEX(Inventario!$B$5:$B$104,MATCH($B114,Inventario!$A$5:$A$104,0)),"")</f>
        <v>Martillo carpintero 16 oz</v>
      </c>
      <c r="D114" s="91">
        <v>1</v>
      </c>
      <c r="E114" s="93">
        <f>IFERROR(INDEX(Inventario!$F$5:$F$104,MATCH($B114,Inventario!$A$5:$A$104,0)),"")</f>
        <v>42000</v>
      </c>
      <c r="F114" s="93">
        <f t="shared" si="2"/>
        <v>42000</v>
      </c>
      <c r="G114" s="93">
        <f>IFERROR($D114*INDEX(Inventario!$E$5:$E$104,MATCH($B114,Inventario!$A$5:$A$104,0)),"")</f>
        <v>18500</v>
      </c>
      <c r="H114" s="93">
        <f t="shared" si="3"/>
        <v>23500</v>
      </c>
    </row>
    <row r="115" spans="1:8" ht="15" customHeight="1" x14ac:dyDescent="0.3">
      <c r="A115" s="94">
        <v>46212</v>
      </c>
      <c r="B115" s="89" t="s">
        <v>60</v>
      </c>
      <c r="C115" s="92" t="str">
        <f>IFERROR(INDEX(Inventario!$B$5:$B$104,MATCH($B115,Inventario!$A$5:$A$104,0)),"")</f>
        <v>Metro flexible 5 m</v>
      </c>
      <c r="D115" s="91">
        <v>1</v>
      </c>
      <c r="E115" s="93">
        <f>IFERROR(INDEX(Inventario!$F$5:$F$104,MATCH($B115,Inventario!$A$5:$A$104,0)),"")</f>
        <v>24500</v>
      </c>
      <c r="F115" s="93">
        <f t="shared" si="2"/>
        <v>24500</v>
      </c>
      <c r="G115" s="93">
        <f>IFERROR($D115*INDEX(Inventario!$E$5:$E$104,MATCH($B115,Inventario!$A$5:$A$104,0)),"")</f>
        <v>9800</v>
      </c>
      <c r="H115" s="93">
        <f t="shared" si="3"/>
        <v>14700</v>
      </c>
    </row>
    <row r="116" spans="1:8" ht="15" customHeight="1" x14ac:dyDescent="0.3">
      <c r="A116" s="94">
        <v>46212</v>
      </c>
      <c r="B116" s="89" t="s">
        <v>67</v>
      </c>
      <c r="C116" s="92" t="str">
        <f>IFERROR(INDEX(Inventario!$B$5:$B$104,MATCH($B116,Inventario!$A$5:$A$104,0)),"")</f>
        <v>Esmalte sintético 1/4 galón</v>
      </c>
      <c r="D116" s="91">
        <v>2</v>
      </c>
      <c r="E116" s="93">
        <f>IFERROR(INDEX(Inventario!$F$5:$F$104,MATCH($B116,Inventario!$A$5:$A$104,0)),"")</f>
        <v>39000</v>
      </c>
      <c r="F116" s="93">
        <f t="shared" si="2"/>
        <v>78000</v>
      </c>
      <c r="G116" s="93">
        <f>IFERROR($D116*INDEX(Inventario!$E$5:$E$104,MATCH($B116,Inventario!$A$5:$A$104,0)),"")</f>
        <v>35000</v>
      </c>
      <c r="H116" s="93">
        <f t="shared" si="3"/>
        <v>43000</v>
      </c>
    </row>
    <row r="117" spans="1:8" ht="15" customHeight="1" x14ac:dyDescent="0.3">
      <c r="A117" s="94">
        <v>46212</v>
      </c>
      <c r="B117" s="89" t="s">
        <v>69</v>
      </c>
      <c r="C117" s="92" t="str">
        <f>IFERROR(INDEX(Inventario!$B$5:$B$104,MATCH($B117,Inventario!$A$5:$A$104,0)),"")</f>
        <v>Brocha 3"</v>
      </c>
      <c r="D117" s="91">
        <v>1</v>
      </c>
      <c r="E117" s="93">
        <f>IFERROR(INDEX(Inventario!$F$5:$F$104,MATCH($B117,Inventario!$A$5:$A$104,0)),"")</f>
        <v>12500</v>
      </c>
      <c r="F117" s="93">
        <f t="shared" si="2"/>
        <v>12500</v>
      </c>
      <c r="G117" s="93">
        <f>IFERROR($D117*INDEX(Inventario!$E$5:$E$104,MATCH($B117,Inventario!$A$5:$A$104,0)),"")</f>
        <v>4800</v>
      </c>
      <c r="H117" s="93">
        <f t="shared" si="3"/>
        <v>7700</v>
      </c>
    </row>
    <row r="118" spans="1:8" ht="15" customHeight="1" x14ac:dyDescent="0.3">
      <c r="A118" s="94">
        <v>46212</v>
      </c>
      <c r="B118" s="89" t="s">
        <v>73</v>
      </c>
      <c r="C118" s="92" t="str">
        <f>IFERROR(INDEX(Inventario!$B$5:$B$104,MATCH($B118,Inventario!$A$5:$A$104,0)),"")</f>
        <v>Lija agua #150 (pliego)</v>
      </c>
      <c r="D118" s="91">
        <v>1</v>
      </c>
      <c r="E118" s="93">
        <f>IFERROR(INDEX(Inventario!$F$5:$F$104,MATCH($B118,Inventario!$A$5:$A$104,0)),"")</f>
        <v>2500</v>
      </c>
      <c r="F118" s="93">
        <f t="shared" si="2"/>
        <v>2500</v>
      </c>
      <c r="G118" s="93">
        <f>IFERROR($D118*INDEX(Inventario!$E$5:$E$104,MATCH($B118,Inventario!$A$5:$A$104,0)),"")</f>
        <v>900</v>
      </c>
      <c r="H118" s="93">
        <f t="shared" si="3"/>
        <v>1600</v>
      </c>
    </row>
    <row r="119" spans="1:8" ht="15" customHeight="1" x14ac:dyDescent="0.3">
      <c r="A119" s="94">
        <v>46212</v>
      </c>
      <c r="B119" s="89" t="s">
        <v>77</v>
      </c>
      <c r="C119" s="92" t="str">
        <f>IFERROR(INDEX(Inventario!$B$5:$B$104,MATCH($B119,Inventario!$A$5:$A$104,0)),"")</f>
        <v>Cable dúplex 2x14 (metro)</v>
      </c>
      <c r="D119" s="91">
        <v>12</v>
      </c>
      <c r="E119" s="93">
        <f>IFERROR(INDEX(Inventario!$F$5:$F$104,MATCH($B119,Inventario!$A$5:$A$104,0)),"")</f>
        <v>5900</v>
      </c>
      <c r="F119" s="93">
        <f t="shared" si="2"/>
        <v>70800</v>
      </c>
      <c r="G119" s="93">
        <f>IFERROR($D119*INDEX(Inventario!$E$5:$E$104,MATCH($B119,Inventario!$A$5:$A$104,0)),"")</f>
        <v>28800</v>
      </c>
      <c r="H119" s="93">
        <f t="shared" si="3"/>
        <v>42000</v>
      </c>
    </row>
    <row r="120" spans="1:8" ht="15" customHeight="1" x14ac:dyDescent="0.3">
      <c r="A120" s="94">
        <v>46212</v>
      </c>
      <c r="B120" s="89" t="s">
        <v>84</v>
      </c>
      <c r="C120" s="92" t="str">
        <f>IFERROR(INDEX(Inventario!$B$5:$B$104,MATCH($B120,Inventario!$A$5:$A$104,0)),"")</f>
        <v>Bombillo LED 9 W</v>
      </c>
      <c r="D120" s="91">
        <v>3</v>
      </c>
      <c r="E120" s="93">
        <f>IFERROR(INDEX(Inventario!$F$5:$F$104,MATCH($B120,Inventario!$A$5:$A$104,0)),"")</f>
        <v>12900</v>
      </c>
      <c r="F120" s="93">
        <f t="shared" si="2"/>
        <v>38700</v>
      </c>
      <c r="G120" s="93">
        <f>IFERROR($D120*INDEX(Inventario!$E$5:$E$104,MATCH($B120,Inventario!$A$5:$A$104,0)),"")</f>
        <v>14700</v>
      </c>
      <c r="H120" s="93">
        <f t="shared" si="3"/>
        <v>24000</v>
      </c>
    </row>
    <row r="121" spans="1:8" ht="15" customHeight="1" x14ac:dyDescent="0.3">
      <c r="A121" s="94">
        <v>46212</v>
      </c>
      <c r="B121" s="89" t="s">
        <v>90</v>
      </c>
      <c r="C121" s="92" t="str">
        <f>IFERROR(INDEX(Inventario!$B$5:$B$104,MATCH($B121,Inventario!$A$5:$A$104,0)),"")</f>
        <v>Tubo PVC 1/2" x 3 m</v>
      </c>
      <c r="D121" s="91">
        <v>2</v>
      </c>
      <c r="E121" s="93">
        <f>IFERROR(INDEX(Inventario!$F$5:$F$104,MATCH($B121,Inventario!$A$5:$A$104,0)),"")</f>
        <v>16500</v>
      </c>
      <c r="F121" s="93">
        <f t="shared" si="2"/>
        <v>33000</v>
      </c>
      <c r="G121" s="93">
        <f>IFERROR($D121*INDEX(Inventario!$E$5:$E$104,MATCH($B121,Inventario!$A$5:$A$104,0)),"")</f>
        <v>13600</v>
      </c>
      <c r="H121" s="93">
        <f t="shared" si="3"/>
        <v>19400</v>
      </c>
    </row>
    <row r="122" spans="1:8" ht="15" customHeight="1" x14ac:dyDescent="0.3">
      <c r="A122" s="94">
        <v>46212</v>
      </c>
      <c r="B122" s="89" t="s">
        <v>101</v>
      </c>
      <c r="C122" s="92" t="str">
        <f>IFERROR(INDEX(Inventario!$B$5:$B$104,MATCH($B122,Inventario!$A$5:$A$104,0)),"")</f>
        <v>Resma papel carta 75 g</v>
      </c>
      <c r="D122" s="91">
        <v>3</v>
      </c>
      <c r="E122" s="93">
        <f>IFERROR(INDEX(Inventario!$F$5:$F$104,MATCH($B122,Inventario!$A$5:$A$104,0)),"")</f>
        <v>22900</v>
      </c>
      <c r="F122" s="93">
        <f t="shared" si="2"/>
        <v>68700</v>
      </c>
      <c r="G122" s="93">
        <f>IFERROR($D122*INDEX(Inventario!$E$5:$E$104,MATCH($B122,Inventario!$A$5:$A$104,0)),"")</f>
        <v>41400</v>
      </c>
      <c r="H122" s="93">
        <f t="shared" si="3"/>
        <v>27300</v>
      </c>
    </row>
    <row r="123" spans="1:8" ht="15" customHeight="1" x14ac:dyDescent="0.3">
      <c r="A123" s="94">
        <v>46212</v>
      </c>
      <c r="B123" s="89" t="s">
        <v>108</v>
      </c>
      <c r="C123" s="92" t="str">
        <f>IFERROR(INDEX(Inventario!$B$5:$B$104,MATCH($B123,Inventario!$A$5:$A$104,0)),"")</f>
        <v>Lapicero tinta negra (unidad)</v>
      </c>
      <c r="D123" s="91">
        <v>15</v>
      </c>
      <c r="E123" s="93">
        <f>IFERROR(INDEX(Inventario!$F$5:$F$104,MATCH($B123,Inventario!$A$5:$A$104,0)),"")</f>
        <v>1800</v>
      </c>
      <c r="F123" s="93">
        <f t="shared" si="2"/>
        <v>27000</v>
      </c>
      <c r="G123" s="93">
        <f>IFERROR($D123*INDEX(Inventario!$E$5:$E$104,MATCH($B123,Inventario!$A$5:$A$104,0)),"")</f>
        <v>9000</v>
      </c>
      <c r="H123" s="93">
        <f t="shared" si="3"/>
        <v>18000</v>
      </c>
    </row>
    <row r="124" spans="1:8" ht="15" customHeight="1" x14ac:dyDescent="0.3">
      <c r="A124" s="94">
        <v>46212</v>
      </c>
      <c r="B124" s="89" t="s">
        <v>110</v>
      </c>
      <c r="C124" s="92" t="str">
        <f>IFERROR(INDEX(Inventario!$B$5:$B$104,MATCH($B124,Inventario!$A$5:$A$104,0)),"")</f>
        <v>Marcador borrable (unidad)</v>
      </c>
      <c r="D124" s="91">
        <v>3</v>
      </c>
      <c r="E124" s="93">
        <f>IFERROR(INDEX(Inventario!$F$5:$F$104,MATCH($B124,Inventario!$A$5:$A$104,0)),"")</f>
        <v>4900</v>
      </c>
      <c r="F124" s="93">
        <f t="shared" si="2"/>
        <v>14700</v>
      </c>
      <c r="G124" s="93">
        <f>IFERROR($D124*INDEX(Inventario!$E$5:$E$104,MATCH($B124,Inventario!$A$5:$A$104,0)),"")</f>
        <v>5700</v>
      </c>
      <c r="H124" s="93">
        <f t="shared" si="3"/>
        <v>9000</v>
      </c>
    </row>
    <row r="125" spans="1:8" ht="15" customHeight="1" x14ac:dyDescent="0.3">
      <c r="A125" s="94">
        <v>46212</v>
      </c>
      <c r="B125" s="89" t="s">
        <v>112</v>
      </c>
      <c r="C125" s="92" t="str">
        <f>IFERROR(INDEX(Inventario!$B$5:$B$104,MATCH($B125,Inventario!$A$5:$A$104,0)),"")</f>
        <v>Carpeta legajadora (unidad)</v>
      </c>
      <c r="D125" s="91">
        <v>7</v>
      </c>
      <c r="E125" s="93">
        <f>IFERROR(INDEX(Inventario!$F$5:$F$104,MATCH($B125,Inventario!$A$5:$A$104,0)),"")</f>
        <v>2200</v>
      </c>
      <c r="F125" s="93">
        <f t="shared" si="2"/>
        <v>15400</v>
      </c>
      <c r="G125" s="93">
        <f>IFERROR($D125*INDEX(Inventario!$E$5:$E$104,MATCH($B125,Inventario!$A$5:$A$104,0)),"")</f>
        <v>4900</v>
      </c>
      <c r="H125" s="93">
        <f t="shared" si="3"/>
        <v>10500</v>
      </c>
    </row>
    <row r="126" spans="1:8" ht="15" customHeight="1" x14ac:dyDescent="0.3">
      <c r="A126" s="94">
        <v>46212</v>
      </c>
      <c r="B126" s="89" t="s">
        <v>114</v>
      </c>
      <c r="C126" s="92" t="str">
        <f>IFERROR(INDEX(Inventario!$B$5:$B$104,MATCH($B126,Inventario!$A$5:$A$104,0)),"")</f>
        <v>Cinta pegante 48 mm</v>
      </c>
      <c r="D126" s="91">
        <v>3</v>
      </c>
      <c r="E126" s="93">
        <f>IFERROR(INDEX(Inventario!$F$5:$F$104,MATCH($B126,Inventario!$A$5:$A$104,0)),"")</f>
        <v>5900</v>
      </c>
      <c r="F126" s="93">
        <f t="shared" si="2"/>
        <v>17700</v>
      </c>
      <c r="G126" s="93">
        <f>IFERROR($D126*INDEX(Inventario!$E$5:$E$104,MATCH($B126,Inventario!$A$5:$A$104,0)),"")</f>
        <v>6600</v>
      </c>
      <c r="H126" s="93">
        <f t="shared" si="3"/>
        <v>11100</v>
      </c>
    </row>
    <row r="127" spans="1:8" ht="15" customHeight="1" x14ac:dyDescent="0.3">
      <c r="A127" s="94">
        <v>46213</v>
      </c>
      <c r="B127" s="89" t="s">
        <v>33</v>
      </c>
      <c r="C127" s="92" t="str">
        <f>IFERROR(INDEX(Inventario!$B$5:$B$104,MATCH($B127,Inventario!$A$5:$A$104,0)),"")</f>
        <v>Tornillo autoperforante 8x1" (unidad)</v>
      </c>
      <c r="D127" s="91">
        <v>11</v>
      </c>
      <c r="E127" s="93">
        <f>IFERROR(INDEX(Inventario!$F$5:$F$104,MATCH($B127,Inventario!$A$5:$A$104,0)),"")</f>
        <v>450</v>
      </c>
      <c r="F127" s="93">
        <f t="shared" si="2"/>
        <v>4950</v>
      </c>
      <c r="G127" s="93">
        <f>IFERROR($D127*INDEX(Inventario!$E$5:$E$104,MATCH($B127,Inventario!$A$5:$A$104,0)),"")</f>
        <v>1980</v>
      </c>
      <c r="H127" s="93">
        <f t="shared" si="3"/>
        <v>2970</v>
      </c>
    </row>
    <row r="128" spans="1:8" ht="15" customHeight="1" x14ac:dyDescent="0.3">
      <c r="A128" s="94">
        <v>46213</v>
      </c>
      <c r="B128" s="89" t="s">
        <v>37</v>
      </c>
      <c r="C128" s="92" t="str">
        <f>IFERROR(INDEX(Inventario!$B$5:$B$104,MATCH($B128,Inventario!$A$5:$A$104,0)),"")</f>
        <v>Tornillo drywall 6x1 1/4" (unidad)</v>
      </c>
      <c r="D128" s="91">
        <v>24</v>
      </c>
      <c r="E128" s="93">
        <f>IFERROR(INDEX(Inventario!$F$5:$F$104,MATCH($B128,Inventario!$A$5:$A$104,0)),"")</f>
        <v>360</v>
      </c>
      <c r="F128" s="93">
        <f t="shared" si="2"/>
        <v>8640</v>
      </c>
      <c r="G128" s="93">
        <f>IFERROR($D128*INDEX(Inventario!$E$5:$E$104,MATCH($B128,Inventario!$A$5:$A$104,0)),"")</f>
        <v>3360</v>
      </c>
      <c r="H128" s="93">
        <f t="shared" si="3"/>
        <v>5280</v>
      </c>
    </row>
    <row r="129" spans="1:8" ht="15" customHeight="1" x14ac:dyDescent="0.3">
      <c r="A129" s="94">
        <v>46213</v>
      </c>
      <c r="B129" s="89" t="s">
        <v>40</v>
      </c>
      <c r="C129" s="92" t="str">
        <f>IFERROR(INDEX(Inventario!$B$5:$B$104,MATCH($B129,Inventario!$A$5:$A$104,0)),"")</f>
        <v>Chazo plástico 3/8" (unidad)</v>
      </c>
      <c r="D129" s="91">
        <v>18</v>
      </c>
      <c r="E129" s="93">
        <f>IFERROR(INDEX(Inventario!$F$5:$F$104,MATCH($B129,Inventario!$A$5:$A$104,0)),"")</f>
        <v>320</v>
      </c>
      <c r="F129" s="93">
        <f t="shared" si="2"/>
        <v>5760</v>
      </c>
      <c r="G129" s="93">
        <f>IFERROR($D129*INDEX(Inventario!$E$5:$E$104,MATCH($B129,Inventario!$A$5:$A$104,0)),"")</f>
        <v>2160</v>
      </c>
      <c r="H129" s="93">
        <f t="shared" si="3"/>
        <v>3600</v>
      </c>
    </row>
    <row r="130" spans="1:8" ht="15" customHeight="1" x14ac:dyDescent="0.3">
      <c r="A130" s="94">
        <v>46213</v>
      </c>
      <c r="B130" s="89" t="s">
        <v>43</v>
      </c>
      <c r="C130" s="92" t="str">
        <f>IFERROR(INDEX(Inventario!$B$5:$B$104,MATCH($B130,Inventario!$A$5:$A$104,0)),"")</f>
        <v>Puntilla 2" libra</v>
      </c>
      <c r="D130" s="91">
        <v>5</v>
      </c>
      <c r="E130" s="93">
        <f>IFERROR(INDEX(Inventario!$F$5:$F$104,MATCH($B130,Inventario!$A$5:$A$104,0)),"")</f>
        <v>7800</v>
      </c>
      <c r="F130" s="93">
        <f t="shared" si="2"/>
        <v>39000</v>
      </c>
      <c r="G130" s="93">
        <f>IFERROR($D130*INDEX(Inventario!$E$5:$E$104,MATCH($B130,Inventario!$A$5:$A$104,0)),"")</f>
        <v>16000</v>
      </c>
      <c r="H130" s="93">
        <f t="shared" si="3"/>
        <v>23000</v>
      </c>
    </row>
    <row r="131" spans="1:8" ht="15" customHeight="1" x14ac:dyDescent="0.3">
      <c r="A131" s="94">
        <v>46213</v>
      </c>
      <c r="B131" s="89" t="s">
        <v>46</v>
      </c>
      <c r="C131" s="92" t="str">
        <f>IFERROR(INDEX(Inventario!$B$5:$B$104,MATCH($B131,Inventario!$A$5:$A$104,0)),"")</f>
        <v>Tuerca hexagonal 1/4" (unidad)</v>
      </c>
      <c r="D131" s="91">
        <v>5</v>
      </c>
      <c r="E131" s="93">
        <f>IFERROR(INDEX(Inventario!$F$5:$F$104,MATCH($B131,Inventario!$A$5:$A$104,0)),"")</f>
        <v>520</v>
      </c>
      <c r="F131" s="93">
        <f t="shared" si="2"/>
        <v>2600</v>
      </c>
      <c r="G131" s="93">
        <f>IFERROR($D131*INDEX(Inventario!$E$5:$E$104,MATCH($B131,Inventario!$A$5:$A$104,0)),"")</f>
        <v>1050</v>
      </c>
      <c r="H131" s="93">
        <f t="shared" si="3"/>
        <v>1550</v>
      </c>
    </row>
    <row r="132" spans="1:8" ht="15" customHeight="1" x14ac:dyDescent="0.3">
      <c r="A132" s="94">
        <v>46213</v>
      </c>
      <c r="B132" s="89" t="s">
        <v>49</v>
      </c>
      <c r="C132" s="92" t="str">
        <f>IFERROR(INDEX(Inventario!$B$5:$B$104,MATCH($B132,Inventario!$A$5:$A$104,0)),"")</f>
        <v>Martillo carpintero 16 oz</v>
      </c>
      <c r="D132" s="91">
        <v>1</v>
      </c>
      <c r="E132" s="93">
        <f>IFERROR(INDEX(Inventario!$F$5:$F$104,MATCH($B132,Inventario!$A$5:$A$104,0)),"")</f>
        <v>42000</v>
      </c>
      <c r="F132" s="93">
        <f t="shared" si="2"/>
        <v>42000</v>
      </c>
      <c r="G132" s="93">
        <f>IFERROR($D132*INDEX(Inventario!$E$5:$E$104,MATCH($B132,Inventario!$A$5:$A$104,0)),"")</f>
        <v>18500</v>
      </c>
      <c r="H132" s="93">
        <f t="shared" si="3"/>
        <v>23500</v>
      </c>
    </row>
    <row r="133" spans="1:8" ht="15" customHeight="1" x14ac:dyDescent="0.3">
      <c r="A133" s="94">
        <v>46213</v>
      </c>
      <c r="B133" s="89" t="s">
        <v>52</v>
      </c>
      <c r="C133" s="92" t="str">
        <f>IFERROR(INDEX(Inventario!$B$5:$B$104,MATCH($B133,Inventario!$A$5:$A$104,0)),"")</f>
        <v>Destornillador estrella #2</v>
      </c>
      <c r="D133" s="91">
        <v>2</v>
      </c>
      <c r="E133" s="93">
        <f>IFERROR(INDEX(Inventario!$F$5:$F$104,MATCH($B133,Inventario!$A$5:$A$104,0)),"")</f>
        <v>15900</v>
      </c>
      <c r="F133" s="93">
        <f t="shared" ref="F133:F196" si="4">IFERROR($D133*$E133,"")</f>
        <v>31800</v>
      </c>
      <c r="G133" s="93">
        <f>IFERROR($D133*INDEX(Inventario!$E$5:$E$104,MATCH($B133,Inventario!$A$5:$A$104,0)),"")</f>
        <v>12400</v>
      </c>
      <c r="H133" s="93">
        <f t="shared" ref="H133:H196" si="5">IFERROR($F133-$G133,"")</f>
        <v>19400</v>
      </c>
    </row>
    <row r="134" spans="1:8" ht="15" customHeight="1" x14ac:dyDescent="0.3">
      <c r="A134" s="94">
        <v>46213</v>
      </c>
      <c r="B134" s="89" t="s">
        <v>65</v>
      </c>
      <c r="C134" s="92" t="str">
        <f>IFERROR(INDEX(Inventario!$B$5:$B$104,MATCH($B134,Inventario!$A$5:$A$104,0)),"")</f>
        <v>Pintura vinilo tipo 1 galón colores</v>
      </c>
      <c r="D134" s="91">
        <v>1</v>
      </c>
      <c r="E134" s="93">
        <f>IFERROR(INDEX(Inventario!$F$5:$F$104,MATCH($B134,Inventario!$A$5:$A$104,0)),"")</f>
        <v>86000</v>
      </c>
      <c r="F134" s="93">
        <f t="shared" si="4"/>
        <v>86000</v>
      </c>
      <c r="G134" s="93">
        <f>IFERROR($D134*INDEX(Inventario!$E$5:$E$104,MATCH($B134,Inventario!$A$5:$A$104,0)),"")</f>
        <v>41000</v>
      </c>
      <c r="H134" s="93">
        <f t="shared" si="5"/>
        <v>45000</v>
      </c>
    </row>
    <row r="135" spans="1:8" ht="15" customHeight="1" x14ac:dyDescent="0.3">
      <c r="A135" s="94">
        <v>46213</v>
      </c>
      <c r="B135" s="89" t="s">
        <v>71</v>
      </c>
      <c r="C135" s="92" t="str">
        <f>IFERROR(INDEX(Inventario!$B$5:$B$104,MATCH($B135,Inventario!$A$5:$A$104,0)),"")</f>
        <v>Rodillo felpa 9" con mango</v>
      </c>
      <c r="D135" s="91">
        <v>1</v>
      </c>
      <c r="E135" s="93">
        <f>IFERROR(INDEX(Inventario!$F$5:$F$104,MATCH($B135,Inventario!$A$5:$A$104,0)),"")</f>
        <v>23000</v>
      </c>
      <c r="F135" s="93">
        <f t="shared" si="4"/>
        <v>23000</v>
      </c>
      <c r="G135" s="93">
        <f>IFERROR($D135*INDEX(Inventario!$E$5:$E$104,MATCH($B135,Inventario!$A$5:$A$104,0)),"")</f>
        <v>9200</v>
      </c>
      <c r="H135" s="93">
        <f t="shared" si="5"/>
        <v>13800</v>
      </c>
    </row>
    <row r="136" spans="1:8" ht="15" customHeight="1" x14ac:dyDescent="0.3">
      <c r="A136" s="94">
        <v>46213</v>
      </c>
      <c r="B136" s="89" t="s">
        <v>73</v>
      </c>
      <c r="C136" s="92" t="str">
        <f>IFERROR(INDEX(Inventario!$B$5:$B$104,MATCH($B136,Inventario!$A$5:$A$104,0)),"")</f>
        <v>Lija agua #150 (pliego)</v>
      </c>
      <c r="D136" s="91">
        <v>6</v>
      </c>
      <c r="E136" s="93">
        <f>IFERROR(INDEX(Inventario!$F$5:$F$104,MATCH($B136,Inventario!$A$5:$A$104,0)),"")</f>
        <v>2500</v>
      </c>
      <c r="F136" s="93">
        <f t="shared" si="4"/>
        <v>15000</v>
      </c>
      <c r="G136" s="93">
        <f>IFERROR($D136*INDEX(Inventario!$E$5:$E$104,MATCH($B136,Inventario!$A$5:$A$104,0)),"")</f>
        <v>5400</v>
      </c>
      <c r="H136" s="93">
        <f t="shared" si="5"/>
        <v>9600</v>
      </c>
    </row>
    <row r="137" spans="1:8" ht="15" customHeight="1" x14ac:dyDescent="0.3">
      <c r="A137" s="94">
        <v>46213</v>
      </c>
      <c r="B137" s="89" t="s">
        <v>77</v>
      </c>
      <c r="C137" s="92" t="str">
        <f>IFERROR(INDEX(Inventario!$B$5:$B$104,MATCH($B137,Inventario!$A$5:$A$104,0)),"")</f>
        <v>Cable dúplex 2x14 (metro)</v>
      </c>
      <c r="D137" s="91">
        <v>12</v>
      </c>
      <c r="E137" s="93">
        <f>IFERROR(INDEX(Inventario!$F$5:$F$104,MATCH($B137,Inventario!$A$5:$A$104,0)),"")</f>
        <v>5900</v>
      </c>
      <c r="F137" s="93">
        <f t="shared" si="4"/>
        <v>70800</v>
      </c>
      <c r="G137" s="93">
        <f>IFERROR($D137*INDEX(Inventario!$E$5:$E$104,MATCH($B137,Inventario!$A$5:$A$104,0)),"")</f>
        <v>28800</v>
      </c>
      <c r="H137" s="93">
        <f t="shared" si="5"/>
        <v>42000</v>
      </c>
    </row>
    <row r="138" spans="1:8" ht="15" customHeight="1" x14ac:dyDescent="0.3">
      <c r="A138" s="94">
        <v>46213</v>
      </c>
      <c r="B138" s="89" t="s">
        <v>82</v>
      </c>
      <c r="C138" s="92" t="str">
        <f>IFERROR(INDEX(Inventario!$B$5:$B$104,MATCH($B138,Inventario!$A$5:$A$104,0)),"")</f>
        <v>Toma doble con polo a tierra</v>
      </c>
      <c r="D138" s="91">
        <v>3</v>
      </c>
      <c r="E138" s="93">
        <f>IFERROR(INDEX(Inventario!$F$5:$F$104,MATCH($B138,Inventario!$A$5:$A$104,0)),"")</f>
        <v>14900</v>
      </c>
      <c r="F138" s="93">
        <f t="shared" si="4"/>
        <v>44700</v>
      </c>
      <c r="G138" s="93">
        <f>IFERROR($D138*INDEX(Inventario!$E$5:$E$104,MATCH($B138,Inventario!$A$5:$A$104,0)),"")</f>
        <v>16800</v>
      </c>
      <c r="H138" s="93">
        <f t="shared" si="5"/>
        <v>27900</v>
      </c>
    </row>
    <row r="139" spans="1:8" ht="15" customHeight="1" x14ac:dyDescent="0.3">
      <c r="A139" s="94">
        <v>46213</v>
      </c>
      <c r="B139" s="89" t="s">
        <v>93</v>
      </c>
      <c r="C139" s="92" t="str">
        <f>IFERROR(INDEX(Inventario!$B$5:$B$104,MATCH($B139,Inventario!$A$5:$A$104,0)),"")</f>
        <v>Codo PVC 1/2" 90°</v>
      </c>
      <c r="D139" s="91">
        <v>3</v>
      </c>
      <c r="E139" s="93">
        <f>IFERROR(INDEX(Inventario!$F$5:$F$104,MATCH($B139,Inventario!$A$5:$A$104,0)),"")</f>
        <v>2400</v>
      </c>
      <c r="F139" s="93">
        <f t="shared" si="4"/>
        <v>7200</v>
      </c>
      <c r="G139" s="93">
        <f>IFERROR($D139*INDEX(Inventario!$E$5:$E$104,MATCH($B139,Inventario!$A$5:$A$104,0)),"")</f>
        <v>2400</v>
      </c>
      <c r="H139" s="93">
        <f t="shared" si="5"/>
        <v>4800</v>
      </c>
    </row>
    <row r="140" spans="1:8" ht="15" customHeight="1" x14ac:dyDescent="0.3">
      <c r="A140" s="94">
        <v>46213</v>
      </c>
      <c r="B140" s="89" t="s">
        <v>104</v>
      </c>
      <c r="C140" s="92" t="str">
        <f>IFERROR(INDEX(Inventario!$B$5:$B$104,MATCH($B140,Inventario!$A$5:$A$104,0)),"")</f>
        <v>Resma papel oficio 75 g</v>
      </c>
      <c r="D140" s="91">
        <v>2</v>
      </c>
      <c r="E140" s="93">
        <f>IFERROR(INDEX(Inventario!$F$5:$F$104,MATCH($B140,Inventario!$A$5:$A$104,0)),"")</f>
        <v>25900</v>
      </c>
      <c r="F140" s="93">
        <f t="shared" si="4"/>
        <v>51800</v>
      </c>
      <c r="G140" s="93">
        <f>IFERROR($D140*INDEX(Inventario!$E$5:$E$104,MATCH($B140,Inventario!$A$5:$A$104,0)),"")</f>
        <v>30400</v>
      </c>
      <c r="H140" s="93">
        <f t="shared" si="5"/>
        <v>21400</v>
      </c>
    </row>
    <row r="141" spans="1:8" ht="15" customHeight="1" x14ac:dyDescent="0.3">
      <c r="A141" s="94">
        <v>46213</v>
      </c>
      <c r="B141" s="89" t="s">
        <v>106</v>
      </c>
      <c r="C141" s="92" t="str">
        <f>IFERROR(INDEX(Inventario!$B$5:$B$104,MATCH($B141,Inventario!$A$5:$A$104,0)),"")</f>
        <v>Cuaderno cuadriculado 100 hojas</v>
      </c>
      <c r="D141" s="91">
        <v>1</v>
      </c>
      <c r="E141" s="93">
        <f>IFERROR(INDEX(Inventario!$F$5:$F$104,MATCH($B141,Inventario!$A$5:$A$104,0)),"")</f>
        <v>6500</v>
      </c>
      <c r="F141" s="93">
        <f t="shared" si="4"/>
        <v>6500</v>
      </c>
      <c r="G141" s="93">
        <f>IFERROR($D141*INDEX(Inventario!$E$5:$E$104,MATCH($B141,Inventario!$A$5:$A$104,0)),"")</f>
        <v>2800</v>
      </c>
      <c r="H141" s="93">
        <f t="shared" si="5"/>
        <v>3700</v>
      </c>
    </row>
    <row r="142" spans="1:8" ht="15" customHeight="1" x14ac:dyDescent="0.3">
      <c r="A142" s="94">
        <v>46213</v>
      </c>
      <c r="B142" s="89" t="s">
        <v>112</v>
      </c>
      <c r="C142" s="92" t="str">
        <f>IFERROR(INDEX(Inventario!$B$5:$B$104,MATCH($B142,Inventario!$A$5:$A$104,0)),"")</f>
        <v>Carpeta legajadora (unidad)</v>
      </c>
      <c r="D142" s="91">
        <v>5</v>
      </c>
      <c r="E142" s="93">
        <f>IFERROR(INDEX(Inventario!$F$5:$F$104,MATCH($B142,Inventario!$A$5:$A$104,0)),"")</f>
        <v>2200</v>
      </c>
      <c r="F142" s="93">
        <f t="shared" si="4"/>
        <v>11000</v>
      </c>
      <c r="G142" s="93">
        <f>IFERROR($D142*INDEX(Inventario!$E$5:$E$104,MATCH($B142,Inventario!$A$5:$A$104,0)),"")</f>
        <v>3500</v>
      </c>
      <c r="H142" s="93">
        <f t="shared" si="5"/>
        <v>7500</v>
      </c>
    </row>
    <row r="143" spans="1:8" ht="15" customHeight="1" x14ac:dyDescent="0.3">
      <c r="A143" s="94">
        <v>46213</v>
      </c>
      <c r="B143" s="89" t="s">
        <v>123</v>
      </c>
      <c r="C143" s="92" t="str">
        <f>IFERROR(INDEX(Inventario!$B$5:$B$104,MATCH($B143,Inventario!$A$5:$A$104,0)),"")</f>
        <v>Trapero industrial</v>
      </c>
      <c r="D143" s="91">
        <v>1</v>
      </c>
      <c r="E143" s="93">
        <f>IFERROR(INDEX(Inventario!$F$5:$F$104,MATCH($B143,Inventario!$A$5:$A$104,0)),"")</f>
        <v>22500</v>
      </c>
      <c r="F143" s="93">
        <f t="shared" si="4"/>
        <v>22500</v>
      </c>
      <c r="G143" s="93">
        <f>IFERROR($D143*INDEX(Inventario!$E$5:$E$104,MATCH($B143,Inventario!$A$5:$A$104,0)),"")</f>
        <v>9600</v>
      </c>
      <c r="H143" s="93">
        <f t="shared" si="5"/>
        <v>12900</v>
      </c>
    </row>
    <row r="144" spans="1:8" ht="15" customHeight="1" x14ac:dyDescent="0.3">
      <c r="A144" s="94">
        <v>46213</v>
      </c>
      <c r="B144" s="89" t="s">
        <v>127</v>
      </c>
      <c r="C144" s="92" t="str">
        <f>IFERROR(INDEX(Inventario!$B$5:$B$104,MATCH($B144,Inventario!$A$5:$A$104,0)),"")</f>
        <v>Bolsa basura 55x60 x10 und</v>
      </c>
      <c r="D144" s="91">
        <v>3</v>
      </c>
      <c r="E144" s="93">
        <f>IFERROR(INDEX(Inventario!$F$5:$F$104,MATCH($B144,Inventario!$A$5:$A$104,0)),"")</f>
        <v>7200</v>
      </c>
      <c r="F144" s="93">
        <f t="shared" si="4"/>
        <v>21600</v>
      </c>
      <c r="G144" s="93">
        <f>IFERROR($D144*INDEX(Inventario!$E$5:$E$104,MATCH($B144,Inventario!$A$5:$A$104,0)),"")</f>
        <v>8700</v>
      </c>
      <c r="H144" s="93">
        <f t="shared" si="5"/>
        <v>12900</v>
      </c>
    </row>
    <row r="145" spans="1:8" ht="15" customHeight="1" x14ac:dyDescent="0.3">
      <c r="A145" s="94">
        <v>46213</v>
      </c>
      <c r="B145" s="89" t="s">
        <v>129</v>
      </c>
      <c r="C145" s="92" t="str">
        <f>IFERROR(INDEX(Inventario!$B$5:$B$104,MATCH($B145,Inventario!$A$5:$A$104,0)),"")</f>
        <v>Detergente industrial 1 kg</v>
      </c>
      <c r="D145" s="91">
        <v>1</v>
      </c>
      <c r="E145" s="93">
        <f>IFERROR(INDEX(Inventario!$F$5:$F$104,MATCH($B145,Inventario!$A$5:$A$104,0)),"")</f>
        <v>24500</v>
      </c>
      <c r="F145" s="93">
        <f t="shared" si="4"/>
        <v>24500</v>
      </c>
      <c r="G145" s="93">
        <f>IFERROR($D145*INDEX(Inventario!$E$5:$E$104,MATCH($B145,Inventario!$A$5:$A$104,0)),"")</f>
        <v>11000</v>
      </c>
      <c r="H145" s="93">
        <f t="shared" si="5"/>
        <v>13500</v>
      </c>
    </row>
    <row r="146" spans="1:8" ht="15" customHeight="1" x14ac:dyDescent="0.3">
      <c r="A146" s="94">
        <v>46214</v>
      </c>
      <c r="B146" s="89" t="s">
        <v>33</v>
      </c>
      <c r="C146" s="92" t="str">
        <f>IFERROR(INDEX(Inventario!$B$5:$B$104,MATCH($B146,Inventario!$A$5:$A$104,0)),"")</f>
        <v>Tornillo autoperforante 8x1" (unidad)</v>
      </c>
      <c r="D146" s="91">
        <v>32</v>
      </c>
      <c r="E146" s="93">
        <f>IFERROR(INDEX(Inventario!$F$5:$F$104,MATCH($B146,Inventario!$A$5:$A$104,0)),"")</f>
        <v>450</v>
      </c>
      <c r="F146" s="93">
        <f t="shared" si="4"/>
        <v>14400</v>
      </c>
      <c r="G146" s="93">
        <f>IFERROR($D146*INDEX(Inventario!$E$5:$E$104,MATCH($B146,Inventario!$A$5:$A$104,0)),"")</f>
        <v>5760</v>
      </c>
      <c r="H146" s="93">
        <f t="shared" si="5"/>
        <v>8640</v>
      </c>
    </row>
    <row r="147" spans="1:8" ht="15" customHeight="1" x14ac:dyDescent="0.3">
      <c r="A147" s="94">
        <v>46214</v>
      </c>
      <c r="B147" s="89" t="s">
        <v>37</v>
      </c>
      <c r="C147" s="92" t="str">
        <f>IFERROR(INDEX(Inventario!$B$5:$B$104,MATCH($B147,Inventario!$A$5:$A$104,0)),"")</f>
        <v>Tornillo drywall 6x1 1/4" (unidad)</v>
      </c>
      <c r="D147" s="91">
        <v>43</v>
      </c>
      <c r="E147" s="93">
        <f>IFERROR(INDEX(Inventario!$F$5:$F$104,MATCH($B147,Inventario!$A$5:$A$104,0)),"")</f>
        <v>360</v>
      </c>
      <c r="F147" s="93">
        <f t="shared" si="4"/>
        <v>15480</v>
      </c>
      <c r="G147" s="93">
        <f>IFERROR($D147*INDEX(Inventario!$E$5:$E$104,MATCH($B147,Inventario!$A$5:$A$104,0)),"")</f>
        <v>6020</v>
      </c>
      <c r="H147" s="93">
        <f t="shared" si="5"/>
        <v>9460</v>
      </c>
    </row>
    <row r="148" spans="1:8" ht="15" customHeight="1" x14ac:dyDescent="0.3">
      <c r="A148" s="94">
        <v>46214</v>
      </c>
      <c r="B148" s="89" t="s">
        <v>40</v>
      </c>
      <c r="C148" s="92" t="str">
        <f>IFERROR(INDEX(Inventario!$B$5:$B$104,MATCH($B148,Inventario!$A$5:$A$104,0)),"")</f>
        <v>Chazo plástico 3/8" (unidad)</v>
      </c>
      <c r="D148" s="91">
        <v>19</v>
      </c>
      <c r="E148" s="93">
        <f>IFERROR(INDEX(Inventario!$F$5:$F$104,MATCH($B148,Inventario!$A$5:$A$104,0)),"")</f>
        <v>320</v>
      </c>
      <c r="F148" s="93">
        <f t="shared" si="4"/>
        <v>6080</v>
      </c>
      <c r="G148" s="93">
        <f>IFERROR($D148*INDEX(Inventario!$E$5:$E$104,MATCH($B148,Inventario!$A$5:$A$104,0)),"")</f>
        <v>2280</v>
      </c>
      <c r="H148" s="93">
        <f t="shared" si="5"/>
        <v>3800</v>
      </c>
    </row>
    <row r="149" spans="1:8" ht="15" customHeight="1" x14ac:dyDescent="0.3">
      <c r="A149" s="94">
        <v>46214</v>
      </c>
      <c r="B149" s="89" t="s">
        <v>46</v>
      </c>
      <c r="C149" s="92" t="str">
        <f>IFERROR(INDEX(Inventario!$B$5:$B$104,MATCH($B149,Inventario!$A$5:$A$104,0)),"")</f>
        <v>Tuerca hexagonal 1/4" (unidad)</v>
      </c>
      <c r="D149" s="91">
        <v>6</v>
      </c>
      <c r="E149" s="93">
        <f>IFERROR(INDEX(Inventario!$F$5:$F$104,MATCH($B149,Inventario!$A$5:$A$104,0)),"")</f>
        <v>520</v>
      </c>
      <c r="F149" s="93">
        <f t="shared" si="4"/>
        <v>3120</v>
      </c>
      <c r="G149" s="93">
        <f>IFERROR($D149*INDEX(Inventario!$E$5:$E$104,MATCH($B149,Inventario!$A$5:$A$104,0)),"")</f>
        <v>1260</v>
      </c>
      <c r="H149" s="93">
        <f t="shared" si="5"/>
        <v>1860</v>
      </c>
    </row>
    <row r="150" spans="1:8" ht="15" customHeight="1" x14ac:dyDescent="0.3">
      <c r="A150" s="94">
        <v>46214</v>
      </c>
      <c r="B150" s="89" t="s">
        <v>62</v>
      </c>
      <c r="C150" s="92" t="str">
        <f>IFERROR(INDEX(Inventario!$B$5:$B$104,MATCH($B150,Inventario!$A$5:$A$104,0)),"")</f>
        <v>Pintura vinilo tipo 1 galón blanco</v>
      </c>
      <c r="D150" s="91">
        <v>3</v>
      </c>
      <c r="E150" s="93">
        <f>IFERROR(INDEX(Inventario!$F$5:$F$104,MATCH($B150,Inventario!$A$5:$A$104,0)),"")</f>
        <v>79000</v>
      </c>
      <c r="F150" s="93">
        <f t="shared" si="4"/>
        <v>237000</v>
      </c>
      <c r="G150" s="93">
        <f>IFERROR($D150*INDEX(Inventario!$E$5:$E$104,MATCH($B150,Inventario!$A$5:$A$104,0)),"")</f>
        <v>114000</v>
      </c>
      <c r="H150" s="93">
        <f t="shared" si="5"/>
        <v>123000</v>
      </c>
    </row>
    <row r="151" spans="1:8" ht="15" customHeight="1" x14ac:dyDescent="0.3">
      <c r="A151" s="94">
        <v>46214</v>
      </c>
      <c r="B151" s="89" t="s">
        <v>69</v>
      </c>
      <c r="C151" s="92" t="str">
        <f>IFERROR(INDEX(Inventario!$B$5:$B$104,MATCH($B151,Inventario!$A$5:$A$104,0)),"")</f>
        <v>Brocha 3"</v>
      </c>
      <c r="D151" s="91">
        <v>3</v>
      </c>
      <c r="E151" s="93">
        <f>IFERROR(INDEX(Inventario!$F$5:$F$104,MATCH($B151,Inventario!$A$5:$A$104,0)),"")</f>
        <v>12500</v>
      </c>
      <c r="F151" s="93">
        <f t="shared" si="4"/>
        <v>37500</v>
      </c>
      <c r="G151" s="93">
        <f>IFERROR($D151*INDEX(Inventario!$E$5:$E$104,MATCH($B151,Inventario!$A$5:$A$104,0)),"")</f>
        <v>14400</v>
      </c>
      <c r="H151" s="93">
        <f t="shared" si="5"/>
        <v>23100</v>
      </c>
    </row>
    <row r="152" spans="1:8" ht="15" customHeight="1" x14ac:dyDescent="0.3">
      <c r="A152" s="94">
        <v>46214</v>
      </c>
      <c r="B152" s="89" t="s">
        <v>73</v>
      </c>
      <c r="C152" s="92" t="str">
        <f>IFERROR(INDEX(Inventario!$B$5:$B$104,MATCH($B152,Inventario!$A$5:$A$104,0)),"")</f>
        <v>Lija agua #150 (pliego)</v>
      </c>
      <c r="D152" s="91">
        <v>10</v>
      </c>
      <c r="E152" s="93">
        <f>IFERROR(INDEX(Inventario!$F$5:$F$104,MATCH($B152,Inventario!$A$5:$A$104,0)),"")</f>
        <v>2500</v>
      </c>
      <c r="F152" s="93">
        <f t="shared" si="4"/>
        <v>25000</v>
      </c>
      <c r="G152" s="93">
        <f>IFERROR($D152*INDEX(Inventario!$E$5:$E$104,MATCH($B152,Inventario!$A$5:$A$104,0)),"")</f>
        <v>9000</v>
      </c>
      <c r="H152" s="93">
        <f t="shared" si="5"/>
        <v>16000</v>
      </c>
    </row>
    <row r="153" spans="1:8" ht="15" customHeight="1" x14ac:dyDescent="0.3">
      <c r="A153" s="94">
        <v>46214</v>
      </c>
      <c r="B153" s="89" t="s">
        <v>84</v>
      </c>
      <c r="C153" s="92" t="str">
        <f>IFERROR(INDEX(Inventario!$B$5:$B$104,MATCH($B153,Inventario!$A$5:$A$104,0)),"")</f>
        <v>Bombillo LED 9 W</v>
      </c>
      <c r="D153" s="91">
        <v>5</v>
      </c>
      <c r="E153" s="93">
        <f>IFERROR(INDEX(Inventario!$F$5:$F$104,MATCH($B153,Inventario!$A$5:$A$104,0)),"")</f>
        <v>12900</v>
      </c>
      <c r="F153" s="93">
        <f t="shared" si="4"/>
        <v>64500</v>
      </c>
      <c r="G153" s="93">
        <f>IFERROR($D153*INDEX(Inventario!$E$5:$E$104,MATCH($B153,Inventario!$A$5:$A$104,0)),"")</f>
        <v>24500</v>
      </c>
      <c r="H153" s="93">
        <f t="shared" si="5"/>
        <v>40000</v>
      </c>
    </row>
    <row r="154" spans="1:8" ht="15" customHeight="1" x14ac:dyDescent="0.3">
      <c r="A154" s="94">
        <v>46214</v>
      </c>
      <c r="B154" s="89" t="s">
        <v>93</v>
      </c>
      <c r="C154" s="92" t="str">
        <f>IFERROR(INDEX(Inventario!$B$5:$B$104,MATCH($B154,Inventario!$A$5:$A$104,0)),"")</f>
        <v>Codo PVC 1/2" 90°</v>
      </c>
      <c r="D154" s="91">
        <v>6</v>
      </c>
      <c r="E154" s="93">
        <f>IFERROR(INDEX(Inventario!$F$5:$F$104,MATCH($B154,Inventario!$A$5:$A$104,0)),"")</f>
        <v>2400</v>
      </c>
      <c r="F154" s="93">
        <f t="shared" si="4"/>
        <v>14400</v>
      </c>
      <c r="G154" s="93">
        <f>IFERROR($D154*INDEX(Inventario!$E$5:$E$104,MATCH($B154,Inventario!$A$5:$A$104,0)),"")</f>
        <v>4800</v>
      </c>
      <c r="H154" s="93">
        <f t="shared" si="5"/>
        <v>9600</v>
      </c>
    </row>
    <row r="155" spans="1:8" ht="15" customHeight="1" x14ac:dyDescent="0.3">
      <c r="A155" s="94">
        <v>46214</v>
      </c>
      <c r="B155" s="89" t="s">
        <v>95</v>
      </c>
      <c r="C155" s="92" t="str">
        <f>IFERROR(INDEX(Inventario!$B$5:$B$104,MATCH($B155,Inventario!$A$5:$A$104,0)),"")</f>
        <v>Teflón 1/2" rollo</v>
      </c>
      <c r="D155" s="91">
        <v>7</v>
      </c>
      <c r="E155" s="93">
        <f>IFERROR(INDEX(Inventario!$F$5:$F$104,MATCH($B155,Inventario!$A$5:$A$104,0)),"")</f>
        <v>2600</v>
      </c>
      <c r="F155" s="93">
        <f t="shared" si="4"/>
        <v>18200</v>
      </c>
      <c r="G155" s="93">
        <f>IFERROR($D155*INDEX(Inventario!$E$5:$E$104,MATCH($B155,Inventario!$A$5:$A$104,0)),"")</f>
        <v>6300</v>
      </c>
      <c r="H155" s="93">
        <f t="shared" si="5"/>
        <v>11900</v>
      </c>
    </row>
    <row r="156" spans="1:8" ht="15" customHeight="1" x14ac:dyDescent="0.3">
      <c r="A156" s="94">
        <v>46214</v>
      </c>
      <c r="B156" s="89" t="s">
        <v>108</v>
      </c>
      <c r="C156" s="92" t="str">
        <f>IFERROR(INDEX(Inventario!$B$5:$B$104,MATCH($B156,Inventario!$A$5:$A$104,0)),"")</f>
        <v>Lapicero tinta negra (unidad)</v>
      </c>
      <c r="D156" s="91">
        <v>13</v>
      </c>
      <c r="E156" s="93">
        <f>IFERROR(INDEX(Inventario!$F$5:$F$104,MATCH($B156,Inventario!$A$5:$A$104,0)),"")</f>
        <v>1800</v>
      </c>
      <c r="F156" s="93">
        <f t="shared" si="4"/>
        <v>23400</v>
      </c>
      <c r="G156" s="93">
        <f>IFERROR($D156*INDEX(Inventario!$E$5:$E$104,MATCH($B156,Inventario!$A$5:$A$104,0)),"")</f>
        <v>7800</v>
      </c>
      <c r="H156" s="93">
        <f t="shared" si="5"/>
        <v>15600</v>
      </c>
    </row>
    <row r="157" spans="1:8" ht="15" customHeight="1" x14ac:dyDescent="0.3">
      <c r="A157" s="94">
        <v>46214</v>
      </c>
      <c r="B157" s="89" t="s">
        <v>112</v>
      </c>
      <c r="C157" s="92" t="str">
        <f>IFERROR(INDEX(Inventario!$B$5:$B$104,MATCH($B157,Inventario!$A$5:$A$104,0)),"")</f>
        <v>Carpeta legajadora (unidad)</v>
      </c>
      <c r="D157" s="91">
        <v>12</v>
      </c>
      <c r="E157" s="93">
        <f>IFERROR(INDEX(Inventario!$F$5:$F$104,MATCH($B157,Inventario!$A$5:$A$104,0)),"")</f>
        <v>2200</v>
      </c>
      <c r="F157" s="93">
        <f t="shared" si="4"/>
        <v>26400</v>
      </c>
      <c r="G157" s="93">
        <f>IFERROR($D157*INDEX(Inventario!$E$5:$E$104,MATCH($B157,Inventario!$A$5:$A$104,0)),"")</f>
        <v>8400</v>
      </c>
      <c r="H157" s="93">
        <f t="shared" si="5"/>
        <v>18000</v>
      </c>
    </row>
    <row r="158" spans="1:8" ht="15" customHeight="1" x14ac:dyDescent="0.3">
      <c r="A158" s="94">
        <v>46214</v>
      </c>
      <c r="B158" s="89" t="s">
        <v>123</v>
      </c>
      <c r="C158" s="92" t="str">
        <f>IFERROR(INDEX(Inventario!$B$5:$B$104,MATCH($B158,Inventario!$A$5:$A$104,0)),"")</f>
        <v>Trapero industrial</v>
      </c>
      <c r="D158" s="91">
        <v>1</v>
      </c>
      <c r="E158" s="93">
        <f>IFERROR(INDEX(Inventario!$F$5:$F$104,MATCH($B158,Inventario!$A$5:$A$104,0)),"")</f>
        <v>22500</v>
      </c>
      <c r="F158" s="93">
        <f t="shared" si="4"/>
        <v>22500</v>
      </c>
      <c r="G158" s="93">
        <f>IFERROR($D158*INDEX(Inventario!$E$5:$E$104,MATCH($B158,Inventario!$A$5:$A$104,0)),"")</f>
        <v>9600</v>
      </c>
      <c r="H158" s="93">
        <f t="shared" si="5"/>
        <v>12900</v>
      </c>
    </row>
    <row r="159" spans="1:8" ht="15" customHeight="1" x14ac:dyDescent="0.3">
      <c r="A159" s="94">
        <v>46214</v>
      </c>
      <c r="B159" s="89" t="s">
        <v>127</v>
      </c>
      <c r="C159" s="92" t="str">
        <f>IFERROR(INDEX(Inventario!$B$5:$B$104,MATCH($B159,Inventario!$A$5:$A$104,0)),"")</f>
        <v>Bolsa basura 55x60 x10 und</v>
      </c>
      <c r="D159" s="91">
        <v>5</v>
      </c>
      <c r="E159" s="93">
        <f>IFERROR(INDEX(Inventario!$F$5:$F$104,MATCH($B159,Inventario!$A$5:$A$104,0)),"")</f>
        <v>7200</v>
      </c>
      <c r="F159" s="93">
        <f t="shared" si="4"/>
        <v>36000</v>
      </c>
      <c r="G159" s="93">
        <f>IFERROR($D159*INDEX(Inventario!$E$5:$E$104,MATCH($B159,Inventario!$A$5:$A$104,0)),"")</f>
        <v>14500</v>
      </c>
      <c r="H159" s="93">
        <f t="shared" si="5"/>
        <v>21500</v>
      </c>
    </row>
    <row r="160" spans="1:8" ht="15" customHeight="1" x14ac:dyDescent="0.3">
      <c r="A160" s="94">
        <v>46216</v>
      </c>
      <c r="B160" s="89" t="s">
        <v>33</v>
      </c>
      <c r="C160" s="92" t="str">
        <f>IFERROR(INDEX(Inventario!$B$5:$B$104,MATCH($B160,Inventario!$A$5:$A$104,0)),"")</f>
        <v>Tornillo autoperforante 8x1" (unidad)</v>
      </c>
      <c r="D160" s="91">
        <v>48</v>
      </c>
      <c r="E160" s="93">
        <f>IFERROR(INDEX(Inventario!$F$5:$F$104,MATCH($B160,Inventario!$A$5:$A$104,0)),"")</f>
        <v>450</v>
      </c>
      <c r="F160" s="93">
        <f t="shared" si="4"/>
        <v>21600</v>
      </c>
      <c r="G160" s="93">
        <f>IFERROR($D160*INDEX(Inventario!$E$5:$E$104,MATCH($B160,Inventario!$A$5:$A$104,0)),"")</f>
        <v>8640</v>
      </c>
      <c r="H160" s="93">
        <f t="shared" si="5"/>
        <v>12960</v>
      </c>
    </row>
    <row r="161" spans="1:8" ht="15" customHeight="1" x14ac:dyDescent="0.3">
      <c r="A161" s="94">
        <v>46216</v>
      </c>
      <c r="B161" s="89" t="s">
        <v>37</v>
      </c>
      <c r="C161" s="92" t="str">
        <f>IFERROR(INDEX(Inventario!$B$5:$B$104,MATCH($B161,Inventario!$A$5:$A$104,0)),"")</f>
        <v>Tornillo drywall 6x1 1/4" (unidad)</v>
      </c>
      <c r="D161" s="91">
        <v>29</v>
      </c>
      <c r="E161" s="93">
        <f>IFERROR(INDEX(Inventario!$F$5:$F$104,MATCH($B161,Inventario!$A$5:$A$104,0)),"")</f>
        <v>360</v>
      </c>
      <c r="F161" s="93">
        <f t="shared" si="4"/>
        <v>10440</v>
      </c>
      <c r="G161" s="93">
        <f>IFERROR($D161*INDEX(Inventario!$E$5:$E$104,MATCH($B161,Inventario!$A$5:$A$104,0)),"")</f>
        <v>4060</v>
      </c>
      <c r="H161" s="93">
        <f t="shared" si="5"/>
        <v>6380</v>
      </c>
    </row>
    <row r="162" spans="1:8" ht="15" customHeight="1" x14ac:dyDescent="0.3">
      <c r="A162" s="94">
        <v>46216</v>
      </c>
      <c r="B162" s="89" t="s">
        <v>40</v>
      </c>
      <c r="C162" s="92" t="str">
        <f>IFERROR(INDEX(Inventario!$B$5:$B$104,MATCH($B162,Inventario!$A$5:$A$104,0)),"")</f>
        <v>Chazo plástico 3/8" (unidad)</v>
      </c>
      <c r="D162" s="91">
        <v>13</v>
      </c>
      <c r="E162" s="93">
        <f>IFERROR(INDEX(Inventario!$F$5:$F$104,MATCH($B162,Inventario!$A$5:$A$104,0)),"")</f>
        <v>320</v>
      </c>
      <c r="F162" s="93">
        <f t="shared" si="4"/>
        <v>4160</v>
      </c>
      <c r="G162" s="93">
        <f>IFERROR($D162*INDEX(Inventario!$E$5:$E$104,MATCH($B162,Inventario!$A$5:$A$104,0)),"")</f>
        <v>1560</v>
      </c>
      <c r="H162" s="93">
        <f t="shared" si="5"/>
        <v>2600</v>
      </c>
    </row>
    <row r="163" spans="1:8" ht="15" customHeight="1" x14ac:dyDescent="0.3">
      <c r="A163" s="94">
        <v>46216</v>
      </c>
      <c r="B163" s="89" t="s">
        <v>43</v>
      </c>
      <c r="C163" s="92" t="str">
        <f>IFERROR(INDEX(Inventario!$B$5:$B$104,MATCH($B163,Inventario!$A$5:$A$104,0)),"")</f>
        <v>Puntilla 2" libra</v>
      </c>
      <c r="D163" s="91">
        <v>2</v>
      </c>
      <c r="E163" s="93">
        <f>IFERROR(INDEX(Inventario!$F$5:$F$104,MATCH($B163,Inventario!$A$5:$A$104,0)),"")</f>
        <v>7800</v>
      </c>
      <c r="F163" s="93">
        <f t="shared" si="4"/>
        <v>15600</v>
      </c>
      <c r="G163" s="93">
        <f>IFERROR($D163*INDEX(Inventario!$E$5:$E$104,MATCH($B163,Inventario!$A$5:$A$104,0)),"")</f>
        <v>6400</v>
      </c>
      <c r="H163" s="93">
        <f t="shared" si="5"/>
        <v>9200</v>
      </c>
    </row>
    <row r="164" spans="1:8" ht="15" customHeight="1" x14ac:dyDescent="0.3">
      <c r="A164" s="94">
        <v>46216</v>
      </c>
      <c r="B164" s="89" t="s">
        <v>46</v>
      </c>
      <c r="C164" s="92" t="str">
        <f>IFERROR(INDEX(Inventario!$B$5:$B$104,MATCH($B164,Inventario!$A$5:$A$104,0)),"")</f>
        <v>Tuerca hexagonal 1/4" (unidad)</v>
      </c>
      <c r="D164" s="91">
        <v>13</v>
      </c>
      <c r="E164" s="93">
        <f>IFERROR(INDEX(Inventario!$F$5:$F$104,MATCH($B164,Inventario!$A$5:$A$104,0)),"")</f>
        <v>520</v>
      </c>
      <c r="F164" s="93">
        <f t="shared" si="4"/>
        <v>6760</v>
      </c>
      <c r="G164" s="93">
        <f>IFERROR($D164*INDEX(Inventario!$E$5:$E$104,MATCH($B164,Inventario!$A$5:$A$104,0)),"")</f>
        <v>2730</v>
      </c>
      <c r="H164" s="93">
        <f t="shared" si="5"/>
        <v>4030</v>
      </c>
    </row>
    <row r="165" spans="1:8" ht="15" customHeight="1" x14ac:dyDescent="0.3">
      <c r="A165" s="94">
        <v>46216</v>
      </c>
      <c r="B165" s="89" t="s">
        <v>73</v>
      </c>
      <c r="C165" s="92" t="str">
        <f>IFERROR(INDEX(Inventario!$B$5:$B$104,MATCH($B165,Inventario!$A$5:$A$104,0)),"")</f>
        <v>Lija agua #150 (pliego)</v>
      </c>
      <c r="D165" s="91">
        <v>6</v>
      </c>
      <c r="E165" s="93">
        <f>IFERROR(INDEX(Inventario!$F$5:$F$104,MATCH($B165,Inventario!$A$5:$A$104,0)),"")</f>
        <v>2500</v>
      </c>
      <c r="F165" s="93">
        <f t="shared" si="4"/>
        <v>15000</v>
      </c>
      <c r="G165" s="93">
        <f>IFERROR($D165*INDEX(Inventario!$E$5:$E$104,MATCH($B165,Inventario!$A$5:$A$104,0)),"")</f>
        <v>5400</v>
      </c>
      <c r="H165" s="93">
        <f t="shared" si="5"/>
        <v>9600</v>
      </c>
    </row>
    <row r="166" spans="1:8" ht="15" customHeight="1" x14ac:dyDescent="0.3">
      <c r="A166" s="94">
        <v>46216</v>
      </c>
      <c r="B166" s="89" t="s">
        <v>77</v>
      </c>
      <c r="C166" s="92" t="str">
        <f>IFERROR(INDEX(Inventario!$B$5:$B$104,MATCH($B166,Inventario!$A$5:$A$104,0)),"")</f>
        <v>Cable dúplex 2x14 (metro)</v>
      </c>
      <c r="D166" s="91">
        <v>9</v>
      </c>
      <c r="E166" s="93">
        <f>IFERROR(INDEX(Inventario!$F$5:$F$104,MATCH($B166,Inventario!$A$5:$A$104,0)),"")</f>
        <v>5900</v>
      </c>
      <c r="F166" s="93">
        <f t="shared" si="4"/>
        <v>53100</v>
      </c>
      <c r="G166" s="93">
        <f>IFERROR($D166*INDEX(Inventario!$E$5:$E$104,MATCH($B166,Inventario!$A$5:$A$104,0)),"")</f>
        <v>21600</v>
      </c>
      <c r="H166" s="93">
        <f t="shared" si="5"/>
        <v>31500</v>
      </c>
    </row>
    <row r="167" spans="1:8" ht="15" customHeight="1" x14ac:dyDescent="0.3">
      <c r="A167" s="94">
        <v>46216</v>
      </c>
      <c r="B167" s="89" t="s">
        <v>93</v>
      </c>
      <c r="C167" s="92" t="str">
        <f>IFERROR(INDEX(Inventario!$B$5:$B$104,MATCH($B167,Inventario!$A$5:$A$104,0)),"")</f>
        <v>Codo PVC 1/2" 90°</v>
      </c>
      <c r="D167" s="91">
        <v>5</v>
      </c>
      <c r="E167" s="93">
        <f>IFERROR(INDEX(Inventario!$F$5:$F$104,MATCH($B167,Inventario!$A$5:$A$104,0)),"")</f>
        <v>2400</v>
      </c>
      <c r="F167" s="93">
        <f t="shared" si="4"/>
        <v>12000</v>
      </c>
      <c r="G167" s="93">
        <f>IFERROR($D167*INDEX(Inventario!$E$5:$E$104,MATCH($B167,Inventario!$A$5:$A$104,0)),"")</f>
        <v>4000</v>
      </c>
      <c r="H167" s="93">
        <f t="shared" si="5"/>
        <v>8000</v>
      </c>
    </row>
    <row r="168" spans="1:8" ht="15" customHeight="1" x14ac:dyDescent="0.3">
      <c r="A168" s="94">
        <v>46216</v>
      </c>
      <c r="B168" s="89" t="s">
        <v>108</v>
      </c>
      <c r="C168" s="92" t="str">
        <f>IFERROR(INDEX(Inventario!$B$5:$B$104,MATCH($B168,Inventario!$A$5:$A$104,0)),"")</f>
        <v>Lapicero tinta negra (unidad)</v>
      </c>
      <c r="D168" s="91">
        <v>6</v>
      </c>
      <c r="E168" s="93">
        <f>IFERROR(INDEX(Inventario!$F$5:$F$104,MATCH($B168,Inventario!$A$5:$A$104,0)),"")</f>
        <v>1800</v>
      </c>
      <c r="F168" s="93">
        <f t="shared" si="4"/>
        <v>10800</v>
      </c>
      <c r="G168" s="93">
        <f>IFERROR($D168*INDEX(Inventario!$E$5:$E$104,MATCH($B168,Inventario!$A$5:$A$104,0)),"")</f>
        <v>3600</v>
      </c>
      <c r="H168" s="93">
        <f t="shared" si="5"/>
        <v>7200</v>
      </c>
    </row>
    <row r="169" spans="1:8" ht="15" customHeight="1" x14ac:dyDescent="0.3">
      <c r="A169" s="94">
        <v>46216</v>
      </c>
      <c r="B169" s="89" t="s">
        <v>112</v>
      </c>
      <c r="C169" s="92" t="str">
        <f>IFERROR(INDEX(Inventario!$B$5:$B$104,MATCH($B169,Inventario!$A$5:$A$104,0)),"")</f>
        <v>Carpeta legajadora (unidad)</v>
      </c>
      <c r="D169" s="91">
        <v>7</v>
      </c>
      <c r="E169" s="93">
        <f>IFERROR(INDEX(Inventario!$F$5:$F$104,MATCH($B169,Inventario!$A$5:$A$104,0)),"")</f>
        <v>2200</v>
      </c>
      <c r="F169" s="93">
        <f t="shared" si="4"/>
        <v>15400</v>
      </c>
      <c r="G169" s="93">
        <f>IFERROR($D169*INDEX(Inventario!$E$5:$E$104,MATCH($B169,Inventario!$A$5:$A$104,0)),"")</f>
        <v>4900</v>
      </c>
      <c r="H169" s="93">
        <f t="shared" si="5"/>
        <v>10500</v>
      </c>
    </row>
    <row r="170" spans="1:8" ht="15" customHeight="1" x14ac:dyDescent="0.3">
      <c r="A170" s="94">
        <v>46216</v>
      </c>
      <c r="B170" s="89" t="s">
        <v>116</v>
      </c>
      <c r="C170" s="92" t="str">
        <f>IFERROR(INDEX(Inventario!$B$5:$B$104,MATCH($B170,Inventario!$A$5:$A$104,0)),"")</f>
        <v>Tijera oficina 8"</v>
      </c>
      <c r="D170" s="91">
        <v>1</v>
      </c>
      <c r="E170" s="93">
        <f>IFERROR(INDEX(Inventario!$F$5:$F$104,MATCH($B170,Inventario!$A$5:$A$104,0)),"")</f>
        <v>13500</v>
      </c>
      <c r="F170" s="93">
        <f t="shared" si="4"/>
        <v>13500</v>
      </c>
      <c r="G170" s="93">
        <f>IFERROR($D170*INDEX(Inventario!$E$5:$E$104,MATCH($B170,Inventario!$A$5:$A$104,0)),"")</f>
        <v>5400</v>
      </c>
      <c r="H170" s="93">
        <f t="shared" si="5"/>
        <v>8100</v>
      </c>
    </row>
    <row r="171" spans="1:8" ht="15" customHeight="1" x14ac:dyDescent="0.3">
      <c r="A171" s="94">
        <v>46216</v>
      </c>
      <c r="B171" s="89" t="s">
        <v>120</v>
      </c>
      <c r="C171" s="92" t="str">
        <f>IFERROR(INDEX(Inventario!$B$5:$B$104,MATCH($B171,Inventario!$A$5:$A$104,0)),"")</f>
        <v>Escoba plástica con cabo</v>
      </c>
      <c r="D171" s="91">
        <v>1</v>
      </c>
      <c r="E171" s="93">
        <f>IFERROR(INDEX(Inventario!$F$5:$F$104,MATCH($B171,Inventario!$A$5:$A$104,0)),"")</f>
        <v>19500</v>
      </c>
      <c r="F171" s="93">
        <f t="shared" si="4"/>
        <v>19500</v>
      </c>
      <c r="G171" s="93">
        <f>IFERROR($D171*INDEX(Inventario!$E$5:$E$104,MATCH($B171,Inventario!$A$5:$A$104,0)),"")</f>
        <v>8200</v>
      </c>
      <c r="H171" s="93">
        <f t="shared" si="5"/>
        <v>11300</v>
      </c>
    </row>
    <row r="172" spans="1:8" ht="15" customHeight="1" x14ac:dyDescent="0.3">
      <c r="A172" s="94">
        <v>46216</v>
      </c>
      <c r="B172" s="89" t="s">
        <v>125</v>
      </c>
      <c r="C172" s="92" t="str">
        <f>IFERROR(INDEX(Inventario!$B$5:$B$104,MATCH($B172,Inventario!$A$5:$A$104,0)),"")</f>
        <v>Guantes de nitrilo (par)</v>
      </c>
      <c r="D172" s="91">
        <v>2</v>
      </c>
      <c r="E172" s="93">
        <f>IFERROR(INDEX(Inventario!$F$5:$F$104,MATCH($B172,Inventario!$A$5:$A$104,0)),"")</f>
        <v>8900</v>
      </c>
      <c r="F172" s="93">
        <f t="shared" si="4"/>
        <v>17800</v>
      </c>
      <c r="G172" s="93">
        <f>IFERROR($D172*INDEX(Inventario!$E$5:$E$104,MATCH($B172,Inventario!$A$5:$A$104,0)),"")</f>
        <v>6800</v>
      </c>
      <c r="H172" s="93">
        <f t="shared" si="5"/>
        <v>11000</v>
      </c>
    </row>
    <row r="173" spans="1:8" ht="15" customHeight="1" x14ac:dyDescent="0.3">
      <c r="A173" s="94">
        <v>46216</v>
      </c>
      <c r="B173" s="89" t="s">
        <v>127</v>
      </c>
      <c r="C173" s="92" t="str">
        <f>IFERROR(INDEX(Inventario!$B$5:$B$104,MATCH($B173,Inventario!$A$5:$A$104,0)),"")</f>
        <v>Bolsa basura 55x60 x10 und</v>
      </c>
      <c r="D173" s="91">
        <v>4</v>
      </c>
      <c r="E173" s="93">
        <f>IFERROR(INDEX(Inventario!$F$5:$F$104,MATCH($B173,Inventario!$A$5:$A$104,0)),"")</f>
        <v>7200</v>
      </c>
      <c r="F173" s="93">
        <f t="shared" si="4"/>
        <v>28800</v>
      </c>
      <c r="G173" s="93">
        <f>IFERROR($D173*INDEX(Inventario!$E$5:$E$104,MATCH($B173,Inventario!$A$5:$A$104,0)),"")</f>
        <v>11600</v>
      </c>
      <c r="H173" s="93">
        <f t="shared" si="5"/>
        <v>17200</v>
      </c>
    </row>
    <row r="174" spans="1:8" ht="15" customHeight="1" x14ac:dyDescent="0.3">
      <c r="A174" s="94">
        <v>46216</v>
      </c>
      <c r="B174" s="89" t="s">
        <v>129</v>
      </c>
      <c r="C174" s="92" t="str">
        <f>IFERROR(INDEX(Inventario!$B$5:$B$104,MATCH($B174,Inventario!$A$5:$A$104,0)),"")</f>
        <v>Detergente industrial 1 kg</v>
      </c>
      <c r="D174" s="91">
        <v>1</v>
      </c>
      <c r="E174" s="93">
        <f>IFERROR(INDEX(Inventario!$F$5:$F$104,MATCH($B174,Inventario!$A$5:$A$104,0)),"")</f>
        <v>24500</v>
      </c>
      <c r="F174" s="93">
        <f t="shared" si="4"/>
        <v>24500</v>
      </c>
      <c r="G174" s="93">
        <f>IFERROR($D174*INDEX(Inventario!$E$5:$E$104,MATCH($B174,Inventario!$A$5:$A$104,0)),"")</f>
        <v>11000</v>
      </c>
      <c r="H174" s="93">
        <f t="shared" si="5"/>
        <v>13500</v>
      </c>
    </row>
    <row r="175" spans="1:8" ht="15" customHeight="1" x14ac:dyDescent="0.3">
      <c r="A175" s="94">
        <v>46217</v>
      </c>
      <c r="B175" s="89" t="s">
        <v>33</v>
      </c>
      <c r="C175" s="92" t="str">
        <f>IFERROR(INDEX(Inventario!$B$5:$B$104,MATCH($B175,Inventario!$A$5:$A$104,0)),"")</f>
        <v>Tornillo autoperforante 8x1" (unidad)</v>
      </c>
      <c r="D175" s="91">
        <v>43</v>
      </c>
      <c r="E175" s="93">
        <f>IFERROR(INDEX(Inventario!$F$5:$F$104,MATCH($B175,Inventario!$A$5:$A$104,0)),"")</f>
        <v>450</v>
      </c>
      <c r="F175" s="93">
        <f t="shared" si="4"/>
        <v>19350</v>
      </c>
      <c r="G175" s="93">
        <f>IFERROR($D175*INDEX(Inventario!$E$5:$E$104,MATCH($B175,Inventario!$A$5:$A$104,0)),"")</f>
        <v>7740</v>
      </c>
      <c r="H175" s="93">
        <f t="shared" si="5"/>
        <v>11610</v>
      </c>
    </row>
    <row r="176" spans="1:8" ht="15" customHeight="1" x14ac:dyDescent="0.3">
      <c r="A176" s="94">
        <v>46217</v>
      </c>
      <c r="B176" s="89" t="s">
        <v>37</v>
      </c>
      <c r="C176" s="92" t="str">
        <f>IFERROR(INDEX(Inventario!$B$5:$B$104,MATCH($B176,Inventario!$A$5:$A$104,0)),"")</f>
        <v>Tornillo drywall 6x1 1/4" (unidad)</v>
      </c>
      <c r="D176" s="91">
        <v>33</v>
      </c>
      <c r="E176" s="93">
        <f>IFERROR(INDEX(Inventario!$F$5:$F$104,MATCH($B176,Inventario!$A$5:$A$104,0)),"")</f>
        <v>360</v>
      </c>
      <c r="F176" s="93">
        <f t="shared" si="4"/>
        <v>11880</v>
      </c>
      <c r="G176" s="93">
        <f>IFERROR($D176*INDEX(Inventario!$E$5:$E$104,MATCH($B176,Inventario!$A$5:$A$104,0)),"")</f>
        <v>4620</v>
      </c>
      <c r="H176" s="93">
        <f t="shared" si="5"/>
        <v>7260</v>
      </c>
    </row>
    <row r="177" spans="1:8" ht="15" customHeight="1" x14ac:dyDescent="0.3">
      <c r="A177" s="94">
        <v>46217</v>
      </c>
      <c r="B177" s="89" t="s">
        <v>40</v>
      </c>
      <c r="C177" s="92" t="str">
        <f>IFERROR(INDEX(Inventario!$B$5:$B$104,MATCH($B177,Inventario!$A$5:$A$104,0)),"")</f>
        <v>Chazo plástico 3/8" (unidad)</v>
      </c>
      <c r="D177" s="91">
        <v>26</v>
      </c>
      <c r="E177" s="93">
        <f>IFERROR(INDEX(Inventario!$F$5:$F$104,MATCH($B177,Inventario!$A$5:$A$104,0)),"")</f>
        <v>320</v>
      </c>
      <c r="F177" s="93">
        <f t="shared" si="4"/>
        <v>8320</v>
      </c>
      <c r="G177" s="93">
        <f>IFERROR($D177*INDEX(Inventario!$E$5:$E$104,MATCH($B177,Inventario!$A$5:$A$104,0)),"")</f>
        <v>3120</v>
      </c>
      <c r="H177" s="93">
        <f t="shared" si="5"/>
        <v>5200</v>
      </c>
    </row>
    <row r="178" spans="1:8" ht="15" customHeight="1" x14ac:dyDescent="0.3">
      <c r="A178" s="94">
        <v>46217</v>
      </c>
      <c r="B178" s="89" t="s">
        <v>46</v>
      </c>
      <c r="C178" s="92" t="str">
        <f>IFERROR(INDEX(Inventario!$B$5:$B$104,MATCH($B178,Inventario!$A$5:$A$104,0)),"")</f>
        <v>Tuerca hexagonal 1/4" (unidad)</v>
      </c>
      <c r="D178" s="91">
        <v>7</v>
      </c>
      <c r="E178" s="93">
        <f>IFERROR(INDEX(Inventario!$F$5:$F$104,MATCH($B178,Inventario!$A$5:$A$104,0)),"")</f>
        <v>520</v>
      </c>
      <c r="F178" s="93">
        <f t="shared" si="4"/>
        <v>3640</v>
      </c>
      <c r="G178" s="93">
        <f>IFERROR($D178*INDEX(Inventario!$E$5:$E$104,MATCH($B178,Inventario!$A$5:$A$104,0)),"")</f>
        <v>1470</v>
      </c>
      <c r="H178" s="93">
        <f t="shared" si="5"/>
        <v>2170</v>
      </c>
    </row>
    <row r="179" spans="1:8" ht="15" customHeight="1" x14ac:dyDescent="0.3">
      <c r="A179" s="94">
        <v>46217</v>
      </c>
      <c r="B179" s="89" t="s">
        <v>60</v>
      </c>
      <c r="C179" s="92" t="str">
        <f>IFERROR(INDEX(Inventario!$B$5:$B$104,MATCH($B179,Inventario!$A$5:$A$104,0)),"")</f>
        <v>Metro flexible 5 m</v>
      </c>
      <c r="D179" s="91">
        <v>1</v>
      </c>
      <c r="E179" s="93">
        <f>IFERROR(INDEX(Inventario!$F$5:$F$104,MATCH($B179,Inventario!$A$5:$A$104,0)),"")</f>
        <v>24500</v>
      </c>
      <c r="F179" s="93">
        <f t="shared" si="4"/>
        <v>24500</v>
      </c>
      <c r="G179" s="93">
        <f>IFERROR($D179*INDEX(Inventario!$E$5:$E$104,MATCH($B179,Inventario!$A$5:$A$104,0)),"")</f>
        <v>9800</v>
      </c>
      <c r="H179" s="93">
        <f t="shared" si="5"/>
        <v>14700</v>
      </c>
    </row>
    <row r="180" spans="1:8" ht="15" customHeight="1" x14ac:dyDescent="0.3">
      <c r="A180" s="94">
        <v>46217</v>
      </c>
      <c r="B180" s="89" t="s">
        <v>62</v>
      </c>
      <c r="C180" s="92" t="str">
        <f>IFERROR(INDEX(Inventario!$B$5:$B$104,MATCH($B180,Inventario!$A$5:$A$104,0)),"")</f>
        <v>Pintura vinilo tipo 1 galón blanco</v>
      </c>
      <c r="D180" s="91">
        <v>2</v>
      </c>
      <c r="E180" s="93">
        <f>IFERROR(INDEX(Inventario!$F$5:$F$104,MATCH($B180,Inventario!$A$5:$A$104,0)),"")</f>
        <v>79000</v>
      </c>
      <c r="F180" s="93">
        <f t="shared" si="4"/>
        <v>158000</v>
      </c>
      <c r="G180" s="93">
        <f>IFERROR($D180*INDEX(Inventario!$E$5:$E$104,MATCH($B180,Inventario!$A$5:$A$104,0)),"")</f>
        <v>76000</v>
      </c>
      <c r="H180" s="93">
        <f t="shared" si="5"/>
        <v>82000</v>
      </c>
    </row>
    <row r="181" spans="1:8" ht="15" customHeight="1" x14ac:dyDescent="0.3">
      <c r="A181" s="94">
        <v>46217</v>
      </c>
      <c r="B181" s="89" t="s">
        <v>67</v>
      </c>
      <c r="C181" s="92" t="str">
        <f>IFERROR(INDEX(Inventario!$B$5:$B$104,MATCH($B181,Inventario!$A$5:$A$104,0)),"")</f>
        <v>Esmalte sintético 1/4 galón</v>
      </c>
      <c r="D181" s="91">
        <v>1</v>
      </c>
      <c r="E181" s="93">
        <f>IFERROR(INDEX(Inventario!$F$5:$F$104,MATCH($B181,Inventario!$A$5:$A$104,0)),"")</f>
        <v>39000</v>
      </c>
      <c r="F181" s="93">
        <f t="shared" si="4"/>
        <v>39000</v>
      </c>
      <c r="G181" s="93">
        <f>IFERROR($D181*INDEX(Inventario!$E$5:$E$104,MATCH($B181,Inventario!$A$5:$A$104,0)),"")</f>
        <v>17500</v>
      </c>
      <c r="H181" s="93">
        <f t="shared" si="5"/>
        <v>21500</v>
      </c>
    </row>
    <row r="182" spans="1:8" ht="15" customHeight="1" x14ac:dyDescent="0.3">
      <c r="A182" s="94">
        <v>46217</v>
      </c>
      <c r="B182" s="89" t="s">
        <v>69</v>
      </c>
      <c r="C182" s="92" t="str">
        <f>IFERROR(INDEX(Inventario!$B$5:$B$104,MATCH($B182,Inventario!$A$5:$A$104,0)),"")</f>
        <v>Brocha 3"</v>
      </c>
      <c r="D182" s="91">
        <v>2</v>
      </c>
      <c r="E182" s="93">
        <f>IFERROR(INDEX(Inventario!$F$5:$F$104,MATCH($B182,Inventario!$A$5:$A$104,0)),"")</f>
        <v>12500</v>
      </c>
      <c r="F182" s="93">
        <f t="shared" si="4"/>
        <v>25000</v>
      </c>
      <c r="G182" s="93">
        <f>IFERROR($D182*INDEX(Inventario!$E$5:$E$104,MATCH($B182,Inventario!$A$5:$A$104,0)),"")</f>
        <v>9600</v>
      </c>
      <c r="H182" s="93">
        <f t="shared" si="5"/>
        <v>15400</v>
      </c>
    </row>
    <row r="183" spans="1:8" ht="15" customHeight="1" x14ac:dyDescent="0.3">
      <c r="A183" s="94">
        <v>46217</v>
      </c>
      <c r="B183" s="89" t="s">
        <v>73</v>
      </c>
      <c r="C183" s="92" t="str">
        <f>IFERROR(INDEX(Inventario!$B$5:$B$104,MATCH($B183,Inventario!$A$5:$A$104,0)),"")</f>
        <v>Lija agua #150 (pliego)</v>
      </c>
      <c r="D183" s="91">
        <v>5</v>
      </c>
      <c r="E183" s="93">
        <f>IFERROR(INDEX(Inventario!$F$5:$F$104,MATCH($B183,Inventario!$A$5:$A$104,0)),"")</f>
        <v>2500</v>
      </c>
      <c r="F183" s="93">
        <f t="shared" si="4"/>
        <v>12500</v>
      </c>
      <c r="G183" s="93">
        <f>IFERROR($D183*INDEX(Inventario!$E$5:$E$104,MATCH($B183,Inventario!$A$5:$A$104,0)),"")</f>
        <v>4500</v>
      </c>
      <c r="H183" s="93">
        <f t="shared" si="5"/>
        <v>8000</v>
      </c>
    </row>
    <row r="184" spans="1:8" ht="15" customHeight="1" x14ac:dyDescent="0.3">
      <c r="A184" s="94">
        <v>46217</v>
      </c>
      <c r="B184" s="89" t="s">
        <v>75</v>
      </c>
      <c r="C184" s="92" t="str">
        <f>IFERROR(INDEX(Inventario!$B$5:$B$104,MATCH($B184,Inventario!$A$5:$A$104,0)),"")</f>
        <v>Thinner corriente litro</v>
      </c>
      <c r="D184" s="91">
        <v>2</v>
      </c>
      <c r="E184" s="93">
        <f>IFERROR(INDEX(Inventario!$F$5:$F$104,MATCH($B184,Inventario!$A$5:$A$104,0)),"")</f>
        <v>16800</v>
      </c>
      <c r="F184" s="93">
        <f t="shared" si="4"/>
        <v>33600</v>
      </c>
      <c r="G184" s="93">
        <f>IFERROR($D184*INDEX(Inventario!$E$5:$E$104,MATCH($B184,Inventario!$A$5:$A$104,0)),"")</f>
        <v>14800</v>
      </c>
      <c r="H184" s="93">
        <f t="shared" si="5"/>
        <v>18800</v>
      </c>
    </row>
    <row r="185" spans="1:8" ht="15" customHeight="1" x14ac:dyDescent="0.3">
      <c r="A185" s="94">
        <v>46217</v>
      </c>
      <c r="B185" s="89" t="s">
        <v>77</v>
      </c>
      <c r="C185" s="92" t="str">
        <f>IFERROR(INDEX(Inventario!$B$5:$B$104,MATCH($B185,Inventario!$A$5:$A$104,0)),"")</f>
        <v>Cable dúplex 2x14 (metro)</v>
      </c>
      <c r="D185" s="91">
        <v>18</v>
      </c>
      <c r="E185" s="93">
        <f>IFERROR(INDEX(Inventario!$F$5:$F$104,MATCH($B185,Inventario!$A$5:$A$104,0)),"")</f>
        <v>5900</v>
      </c>
      <c r="F185" s="93">
        <f t="shared" si="4"/>
        <v>106200</v>
      </c>
      <c r="G185" s="93">
        <f>IFERROR($D185*INDEX(Inventario!$E$5:$E$104,MATCH($B185,Inventario!$A$5:$A$104,0)),"")</f>
        <v>43200</v>
      </c>
      <c r="H185" s="93">
        <f t="shared" si="5"/>
        <v>63000</v>
      </c>
    </row>
    <row r="186" spans="1:8" ht="15" customHeight="1" x14ac:dyDescent="0.3">
      <c r="A186" s="94">
        <v>46217</v>
      </c>
      <c r="B186" s="89" t="s">
        <v>84</v>
      </c>
      <c r="C186" s="92" t="str">
        <f>IFERROR(INDEX(Inventario!$B$5:$B$104,MATCH($B186,Inventario!$A$5:$A$104,0)),"")</f>
        <v>Bombillo LED 9 W</v>
      </c>
      <c r="D186" s="91">
        <v>7</v>
      </c>
      <c r="E186" s="93">
        <f>IFERROR(INDEX(Inventario!$F$5:$F$104,MATCH($B186,Inventario!$A$5:$A$104,0)),"")</f>
        <v>12900</v>
      </c>
      <c r="F186" s="93">
        <f t="shared" si="4"/>
        <v>90300</v>
      </c>
      <c r="G186" s="93">
        <f>IFERROR($D186*INDEX(Inventario!$E$5:$E$104,MATCH($B186,Inventario!$A$5:$A$104,0)),"")</f>
        <v>34300</v>
      </c>
      <c r="H186" s="93">
        <f t="shared" si="5"/>
        <v>56000</v>
      </c>
    </row>
    <row r="187" spans="1:8" ht="15" customHeight="1" x14ac:dyDescent="0.3">
      <c r="A187" s="94">
        <v>46217</v>
      </c>
      <c r="B187" s="89" t="s">
        <v>86</v>
      </c>
      <c r="C187" s="92" t="str">
        <f>IFERROR(INDEX(Inventario!$B$5:$B$104,MATCH($B187,Inventario!$A$5:$A$104,0)),"")</f>
        <v>Cinta aislante 18 m</v>
      </c>
      <c r="D187" s="91">
        <v>3</v>
      </c>
      <c r="E187" s="93">
        <f>IFERROR(INDEX(Inventario!$F$5:$F$104,MATCH($B187,Inventario!$A$5:$A$104,0)),"")</f>
        <v>6900</v>
      </c>
      <c r="F187" s="93">
        <f t="shared" si="4"/>
        <v>20700</v>
      </c>
      <c r="G187" s="93">
        <f>IFERROR($D187*INDEX(Inventario!$E$5:$E$104,MATCH($B187,Inventario!$A$5:$A$104,0)),"")</f>
        <v>7800</v>
      </c>
      <c r="H187" s="93">
        <f t="shared" si="5"/>
        <v>12900</v>
      </c>
    </row>
    <row r="188" spans="1:8" ht="15" customHeight="1" x14ac:dyDescent="0.3">
      <c r="A188" s="94">
        <v>46217</v>
      </c>
      <c r="B188" s="89" t="s">
        <v>90</v>
      </c>
      <c r="C188" s="92" t="str">
        <f>IFERROR(INDEX(Inventario!$B$5:$B$104,MATCH($B188,Inventario!$A$5:$A$104,0)),"")</f>
        <v>Tubo PVC 1/2" x 3 m</v>
      </c>
      <c r="D188" s="91">
        <v>2</v>
      </c>
      <c r="E188" s="93">
        <f>IFERROR(INDEX(Inventario!$F$5:$F$104,MATCH($B188,Inventario!$A$5:$A$104,0)),"")</f>
        <v>16500</v>
      </c>
      <c r="F188" s="93">
        <f t="shared" si="4"/>
        <v>33000</v>
      </c>
      <c r="G188" s="93">
        <f>IFERROR($D188*INDEX(Inventario!$E$5:$E$104,MATCH($B188,Inventario!$A$5:$A$104,0)),"")</f>
        <v>13600</v>
      </c>
      <c r="H188" s="93">
        <f t="shared" si="5"/>
        <v>19400</v>
      </c>
    </row>
    <row r="189" spans="1:8" ht="15" customHeight="1" x14ac:dyDescent="0.3">
      <c r="A189" s="94">
        <v>46217</v>
      </c>
      <c r="B189" s="89" t="s">
        <v>95</v>
      </c>
      <c r="C189" s="92" t="str">
        <f>IFERROR(INDEX(Inventario!$B$5:$B$104,MATCH($B189,Inventario!$A$5:$A$104,0)),"")</f>
        <v>Teflón 1/2" rollo</v>
      </c>
      <c r="D189" s="91">
        <v>2</v>
      </c>
      <c r="E189" s="93">
        <f>IFERROR(INDEX(Inventario!$F$5:$F$104,MATCH($B189,Inventario!$A$5:$A$104,0)),"")</f>
        <v>2600</v>
      </c>
      <c r="F189" s="93">
        <f t="shared" si="4"/>
        <v>5200</v>
      </c>
      <c r="G189" s="93">
        <f>IFERROR($D189*INDEX(Inventario!$E$5:$E$104,MATCH($B189,Inventario!$A$5:$A$104,0)),"")</f>
        <v>1800</v>
      </c>
      <c r="H189" s="93">
        <f t="shared" si="5"/>
        <v>3400</v>
      </c>
    </row>
    <row r="190" spans="1:8" ht="15" customHeight="1" x14ac:dyDescent="0.3">
      <c r="A190" s="94">
        <v>46217</v>
      </c>
      <c r="B190" s="89" t="s">
        <v>101</v>
      </c>
      <c r="C190" s="92" t="str">
        <f>IFERROR(INDEX(Inventario!$B$5:$B$104,MATCH($B190,Inventario!$A$5:$A$104,0)),"")</f>
        <v>Resma papel carta 75 g</v>
      </c>
      <c r="D190" s="91">
        <v>5</v>
      </c>
      <c r="E190" s="93">
        <f>IFERROR(INDEX(Inventario!$F$5:$F$104,MATCH($B190,Inventario!$A$5:$A$104,0)),"")</f>
        <v>22900</v>
      </c>
      <c r="F190" s="93">
        <f t="shared" si="4"/>
        <v>114500</v>
      </c>
      <c r="G190" s="93">
        <f>IFERROR($D190*INDEX(Inventario!$E$5:$E$104,MATCH($B190,Inventario!$A$5:$A$104,0)),"")</f>
        <v>69000</v>
      </c>
      <c r="H190" s="93">
        <f t="shared" si="5"/>
        <v>45500</v>
      </c>
    </row>
    <row r="191" spans="1:8" ht="15" customHeight="1" x14ac:dyDescent="0.3">
      <c r="A191" s="94">
        <v>46217</v>
      </c>
      <c r="B191" s="89" t="s">
        <v>108</v>
      </c>
      <c r="C191" s="92" t="str">
        <f>IFERROR(INDEX(Inventario!$B$5:$B$104,MATCH($B191,Inventario!$A$5:$A$104,0)),"")</f>
        <v>Lapicero tinta negra (unidad)</v>
      </c>
      <c r="D191" s="91">
        <v>11</v>
      </c>
      <c r="E191" s="93">
        <f>IFERROR(INDEX(Inventario!$F$5:$F$104,MATCH($B191,Inventario!$A$5:$A$104,0)),"")</f>
        <v>1800</v>
      </c>
      <c r="F191" s="93">
        <f t="shared" si="4"/>
        <v>19800</v>
      </c>
      <c r="G191" s="93">
        <f>IFERROR($D191*INDEX(Inventario!$E$5:$E$104,MATCH($B191,Inventario!$A$5:$A$104,0)),"")</f>
        <v>6600</v>
      </c>
      <c r="H191" s="93">
        <f t="shared" si="5"/>
        <v>13200</v>
      </c>
    </row>
    <row r="192" spans="1:8" ht="15" customHeight="1" x14ac:dyDescent="0.3">
      <c r="A192" s="94">
        <v>46217</v>
      </c>
      <c r="B192" s="89" t="s">
        <v>110</v>
      </c>
      <c r="C192" s="92" t="str">
        <f>IFERROR(INDEX(Inventario!$B$5:$B$104,MATCH($B192,Inventario!$A$5:$A$104,0)),"")</f>
        <v>Marcador borrable (unidad)</v>
      </c>
      <c r="D192" s="91">
        <v>4</v>
      </c>
      <c r="E192" s="93">
        <f>IFERROR(INDEX(Inventario!$F$5:$F$104,MATCH($B192,Inventario!$A$5:$A$104,0)),"")</f>
        <v>4900</v>
      </c>
      <c r="F192" s="93">
        <f t="shared" si="4"/>
        <v>19600</v>
      </c>
      <c r="G192" s="93">
        <f>IFERROR($D192*INDEX(Inventario!$E$5:$E$104,MATCH($B192,Inventario!$A$5:$A$104,0)),"")</f>
        <v>7600</v>
      </c>
      <c r="H192" s="93">
        <f t="shared" si="5"/>
        <v>12000</v>
      </c>
    </row>
    <row r="193" spans="1:8" ht="15" customHeight="1" x14ac:dyDescent="0.3">
      <c r="A193" s="94">
        <v>46217</v>
      </c>
      <c r="B193" s="89" t="s">
        <v>112</v>
      </c>
      <c r="C193" s="92" t="str">
        <f>IFERROR(INDEX(Inventario!$B$5:$B$104,MATCH($B193,Inventario!$A$5:$A$104,0)),"")</f>
        <v>Carpeta legajadora (unidad)</v>
      </c>
      <c r="D193" s="91">
        <v>4</v>
      </c>
      <c r="E193" s="93">
        <f>IFERROR(INDEX(Inventario!$F$5:$F$104,MATCH($B193,Inventario!$A$5:$A$104,0)),"")</f>
        <v>2200</v>
      </c>
      <c r="F193" s="93">
        <f t="shared" si="4"/>
        <v>8800</v>
      </c>
      <c r="G193" s="93">
        <f>IFERROR($D193*INDEX(Inventario!$E$5:$E$104,MATCH($B193,Inventario!$A$5:$A$104,0)),"")</f>
        <v>2800</v>
      </c>
      <c r="H193" s="93">
        <f t="shared" si="5"/>
        <v>6000</v>
      </c>
    </row>
    <row r="194" spans="1:8" ht="15" customHeight="1" x14ac:dyDescent="0.3">
      <c r="A194" s="94">
        <v>46217</v>
      </c>
      <c r="B194" s="89" t="s">
        <v>116</v>
      </c>
      <c r="C194" s="92" t="str">
        <f>IFERROR(INDEX(Inventario!$B$5:$B$104,MATCH($B194,Inventario!$A$5:$A$104,0)),"")</f>
        <v>Tijera oficina 8"</v>
      </c>
      <c r="D194" s="91">
        <v>1</v>
      </c>
      <c r="E194" s="93">
        <f>IFERROR(INDEX(Inventario!$F$5:$F$104,MATCH($B194,Inventario!$A$5:$A$104,0)),"")</f>
        <v>13500</v>
      </c>
      <c r="F194" s="93">
        <f t="shared" si="4"/>
        <v>13500</v>
      </c>
      <c r="G194" s="93">
        <f>IFERROR($D194*INDEX(Inventario!$E$5:$E$104,MATCH($B194,Inventario!$A$5:$A$104,0)),"")</f>
        <v>5400</v>
      </c>
      <c r="H194" s="93">
        <f t="shared" si="5"/>
        <v>8100</v>
      </c>
    </row>
    <row r="195" spans="1:8" ht="15" customHeight="1" x14ac:dyDescent="0.3">
      <c r="A195" s="94">
        <v>46217</v>
      </c>
      <c r="B195" s="89" t="s">
        <v>125</v>
      </c>
      <c r="C195" s="92" t="str">
        <f>IFERROR(INDEX(Inventario!$B$5:$B$104,MATCH($B195,Inventario!$A$5:$A$104,0)),"")</f>
        <v>Guantes de nitrilo (par)</v>
      </c>
      <c r="D195" s="91">
        <v>2</v>
      </c>
      <c r="E195" s="93">
        <f>IFERROR(INDEX(Inventario!$F$5:$F$104,MATCH($B195,Inventario!$A$5:$A$104,0)),"")</f>
        <v>8900</v>
      </c>
      <c r="F195" s="93">
        <f t="shared" si="4"/>
        <v>17800</v>
      </c>
      <c r="G195" s="93">
        <f>IFERROR($D195*INDEX(Inventario!$E$5:$E$104,MATCH($B195,Inventario!$A$5:$A$104,0)),"")</f>
        <v>6800</v>
      </c>
      <c r="H195" s="93">
        <f t="shared" si="5"/>
        <v>11000</v>
      </c>
    </row>
    <row r="196" spans="1:8" ht="15" customHeight="1" x14ac:dyDescent="0.3">
      <c r="A196" s="94">
        <v>46217</v>
      </c>
      <c r="B196" s="89" t="s">
        <v>127</v>
      </c>
      <c r="C196" s="92" t="str">
        <f>IFERROR(INDEX(Inventario!$B$5:$B$104,MATCH($B196,Inventario!$A$5:$A$104,0)),"")</f>
        <v>Bolsa basura 55x60 x10 und</v>
      </c>
      <c r="D196" s="91">
        <v>3</v>
      </c>
      <c r="E196" s="93">
        <f>IFERROR(INDEX(Inventario!$F$5:$F$104,MATCH($B196,Inventario!$A$5:$A$104,0)),"")</f>
        <v>7200</v>
      </c>
      <c r="F196" s="93">
        <f t="shared" si="4"/>
        <v>21600</v>
      </c>
      <c r="G196" s="93">
        <f>IFERROR($D196*INDEX(Inventario!$E$5:$E$104,MATCH($B196,Inventario!$A$5:$A$104,0)),"")</f>
        <v>8700</v>
      </c>
      <c r="H196" s="93">
        <f t="shared" si="5"/>
        <v>12900</v>
      </c>
    </row>
    <row r="197" spans="1:8" ht="15" customHeight="1" x14ac:dyDescent="0.3">
      <c r="A197" s="94">
        <v>46217</v>
      </c>
      <c r="B197" s="89" t="s">
        <v>131</v>
      </c>
      <c r="C197" s="92" t="str">
        <f>IFERROR(INDEX(Inventario!$B$5:$B$104,MATCH($B197,Inventario!$A$5:$A$104,0)),"")</f>
        <v>Candado 40 mm</v>
      </c>
      <c r="D197" s="91">
        <v>1</v>
      </c>
      <c r="E197" s="93">
        <f>IFERROR(INDEX(Inventario!$F$5:$F$104,MATCH($B197,Inventario!$A$5:$A$104,0)),"")</f>
        <v>31000</v>
      </c>
      <c r="F197" s="93">
        <f t="shared" ref="F197:F204" si="6">IFERROR($D197*$E197,"")</f>
        <v>31000</v>
      </c>
      <c r="G197" s="93">
        <f>IFERROR($D197*INDEX(Inventario!$E$5:$E$104,MATCH($B197,Inventario!$A$5:$A$104,0)),"")</f>
        <v>13500</v>
      </c>
      <c r="H197" s="93">
        <f t="shared" ref="H197:H204" si="7">IFERROR($F197-$G197,"")</f>
        <v>17500</v>
      </c>
    </row>
    <row r="198" spans="1:8" ht="15" customHeight="1" x14ac:dyDescent="0.3">
      <c r="A198" s="94">
        <v>46218</v>
      </c>
      <c r="B198" s="89" t="s">
        <v>33</v>
      </c>
      <c r="C198" s="92" t="str">
        <f>IFERROR(INDEX(Inventario!$B$5:$B$104,MATCH($B198,Inventario!$A$5:$A$104,0)),"")</f>
        <v>Tornillo autoperforante 8x1" (unidad)</v>
      </c>
      <c r="D198" s="91">
        <v>28</v>
      </c>
      <c r="E198" s="93">
        <f>IFERROR(INDEX(Inventario!$F$5:$F$104,MATCH($B198,Inventario!$A$5:$A$104,0)),"")</f>
        <v>450</v>
      </c>
      <c r="F198" s="93">
        <f t="shared" si="6"/>
        <v>12600</v>
      </c>
      <c r="G198" s="93">
        <f>IFERROR($D198*INDEX(Inventario!$E$5:$E$104,MATCH($B198,Inventario!$A$5:$A$104,0)),"")</f>
        <v>5040</v>
      </c>
      <c r="H198" s="93">
        <f t="shared" si="7"/>
        <v>7560</v>
      </c>
    </row>
    <row r="199" spans="1:8" ht="15" customHeight="1" x14ac:dyDescent="0.3">
      <c r="A199" s="94">
        <v>46218</v>
      </c>
      <c r="B199" s="89" t="s">
        <v>37</v>
      </c>
      <c r="C199" s="92" t="str">
        <f>IFERROR(INDEX(Inventario!$B$5:$B$104,MATCH($B199,Inventario!$A$5:$A$104,0)),"")</f>
        <v>Tornillo drywall 6x1 1/4" (unidad)</v>
      </c>
      <c r="D199" s="91">
        <v>18</v>
      </c>
      <c r="E199" s="93">
        <f>IFERROR(INDEX(Inventario!$F$5:$F$104,MATCH($B199,Inventario!$A$5:$A$104,0)),"")</f>
        <v>360</v>
      </c>
      <c r="F199" s="93">
        <f t="shared" si="6"/>
        <v>6480</v>
      </c>
      <c r="G199" s="93">
        <f>IFERROR($D199*INDEX(Inventario!$E$5:$E$104,MATCH($B199,Inventario!$A$5:$A$104,0)),"")</f>
        <v>2520</v>
      </c>
      <c r="H199" s="93">
        <f t="shared" si="7"/>
        <v>3960</v>
      </c>
    </row>
    <row r="200" spans="1:8" ht="15" customHeight="1" x14ac:dyDescent="0.3">
      <c r="A200" s="94">
        <v>46218</v>
      </c>
      <c r="B200" s="89" t="s">
        <v>40</v>
      </c>
      <c r="C200" s="92" t="str">
        <f>IFERROR(INDEX(Inventario!$B$5:$B$104,MATCH($B200,Inventario!$A$5:$A$104,0)),"")</f>
        <v>Chazo plástico 3/8" (unidad)</v>
      </c>
      <c r="D200" s="91">
        <v>10</v>
      </c>
      <c r="E200" s="93">
        <f>IFERROR(INDEX(Inventario!$F$5:$F$104,MATCH($B200,Inventario!$A$5:$A$104,0)),"")</f>
        <v>320</v>
      </c>
      <c r="F200" s="93">
        <f t="shared" si="6"/>
        <v>3200</v>
      </c>
      <c r="G200" s="93">
        <f>IFERROR($D200*INDEX(Inventario!$E$5:$E$104,MATCH($B200,Inventario!$A$5:$A$104,0)),"")</f>
        <v>1200</v>
      </c>
      <c r="H200" s="93">
        <f t="shared" si="7"/>
        <v>2000</v>
      </c>
    </row>
    <row r="201" spans="1:8" ht="15" customHeight="1" x14ac:dyDescent="0.3">
      <c r="A201" s="94">
        <v>46218</v>
      </c>
      <c r="B201" s="89" t="s">
        <v>43</v>
      </c>
      <c r="C201" s="92" t="str">
        <f>IFERROR(INDEX(Inventario!$B$5:$B$104,MATCH($B201,Inventario!$A$5:$A$104,0)),"")</f>
        <v>Puntilla 2" libra</v>
      </c>
      <c r="D201" s="91">
        <v>1</v>
      </c>
      <c r="E201" s="93">
        <f>IFERROR(INDEX(Inventario!$F$5:$F$104,MATCH($B201,Inventario!$A$5:$A$104,0)),"")</f>
        <v>7800</v>
      </c>
      <c r="F201" s="93">
        <f t="shared" si="6"/>
        <v>7800</v>
      </c>
      <c r="G201" s="93">
        <f>IFERROR($D201*INDEX(Inventario!$E$5:$E$104,MATCH($B201,Inventario!$A$5:$A$104,0)),"")</f>
        <v>3200</v>
      </c>
      <c r="H201" s="93">
        <f t="shared" si="7"/>
        <v>4600</v>
      </c>
    </row>
    <row r="202" spans="1:8" ht="15" customHeight="1" x14ac:dyDescent="0.3">
      <c r="A202" s="94">
        <v>46218</v>
      </c>
      <c r="B202" s="89" t="s">
        <v>46</v>
      </c>
      <c r="C202" s="92" t="str">
        <f>IFERROR(INDEX(Inventario!$B$5:$B$104,MATCH($B202,Inventario!$A$5:$A$104,0)),"")</f>
        <v>Tuerca hexagonal 1/4" (unidad)</v>
      </c>
      <c r="D202" s="91">
        <v>8</v>
      </c>
      <c r="E202" s="93">
        <f>IFERROR(INDEX(Inventario!$F$5:$F$104,MATCH($B202,Inventario!$A$5:$A$104,0)),"")</f>
        <v>520</v>
      </c>
      <c r="F202" s="93">
        <f t="shared" si="6"/>
        <v>4160</v>
      </c>
      <c r="G202" s="93">
        <f>IFERROR($D202*INDEX(Inventario!$E$5:$E$104,MATCH($B202,Inventario!$A$5:$A$104,0)),"")</f>
        <v>1680</v>
      </c>
      <c r="H202" s="93">
        <f t="shared" si="7"/>
        <v>2480</v>
      </c>
    </row>
    <row r="203" spans="1:8" ht="15" customHeight="1" x14ac:dyDescent="0.3">
      <c r="A203" s="94">
        <v>46218</v>
      </c>
      <c r="B203" s="89" t="s">
        <v>65</v>
      </c>
      <c r="C203" s="92" t="str">
        <f>IFERROR(INDEX(Inventario!$B$5:$B$104,MATCH($B203,Inventario!$A$5:$A$104,0)),"")</f>
        <v>Pintura vinilo tipo 1 galón colores</v>
      </c>
      <c r="D203" s="91">
        <v>1</v>
      </c>
      <c r="E203" s="93">
        <f>IFERROR(INDEX(Inventario!$F$5:$F$104,MATCH($B203,Inventario!$A$5:$A$104,0)),"")</f>
        <v>86000</v>
      </c>
      <c r="F203" s="93">
        <f t="shared" si="6"/>
        <v>86000</v>
      </c>
      <c r="G203" s="93">
        <f>IFERROR($D203*INDEX(Inventario!$E$5:$E$104,MATCH($B203,Inventario!$A$5:$A$104,0)),"")</f>
        <v>41000</v>
      </c>
      <c r="H203" s="93">
        <f t="shared" si="7"/>
        <v>45000</v>
      </c>
    </row>
    <row r="204" spans="1:8" ht="15" customHeight="1" x14ac:dyDescent="0.3">
      <c r="A204" s="94">
        <v>46218</v>
      </c>
      <c r="B204" s="89" t="s">
        <v>69</v>
      </c>
      <c r="C204" s="92" t="str">
        <f>IFERROR(INDEX(Inventario!$B$5:$B$104,MATCH($B204,Inventario!$A$5:$A$104,0)),"")</f>
        <v>Brocha 3"</v>
      </c>
      <c r="D204" s="91">
        <v>2</v>
      </c>
      <c r="E204" s="93">
        <f>IFERROR(INDEX(Inventario!$F$5:$F$104,MATCH($B204,Inventario!$A$5:$A$104,0)),"")</f>
        <v>12500</v>
      </c>
      <c r="F204" s="93">
        <f t="shared" si="6"/>
        <v>25000</v>
      </c>
      <c r="G204" s="93">
        <f>IFERROR($D204*INDEX(Inventario!$E$5:$E$104,MATCH($B204,Inventario!$A$5:$A$104,0)),"")</f>
        <v>9600</v>
      </c>
      <c r="H204" s="93">
        <f t="shared" si="7"/>
        <v>15400</v>
      </c>
    </row>
  </sheetData>
  <sheetProtection sheet="1" objects="1" scenarios="1"/>
  <mergeCells count="2">
    <mergeCell ref="A2:H2"/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31"/>
  <sheetViews>
    <sheetView showGridLines="0" workbookViewId="0">
      <selection activeCell="D23" sqref="D23"/>
    </sheetView>
  </sheetViews>
  <sheetFormatPr baseColWidth="10" defaultColWidth="8.88671875" defaultRowHeight="14.4" x14ac:dyDescent="0.3"/>
  <cols>
    <col min="1" max="1" width="3" style="2" customWidth="1"/>
    <col min="2" max="2" width="26" style="2" customWidth="1"/>
    <col min="3" max="3" width="66" style="2" customWidth="1"/>
    <col min="4" max="4" width="18" style="2" customWidth="1"/>
    <col min="5" max="5" width="4" style="2" customWidth="1"/>
    <col min="6" max="16384" width="8.88671875" style="2"/>
  </cols>
  <sheetData>
    <row r="1" spans="2:4" ht="30" customHeight="1" x14ac:dyDescent="0.3">
      <c r="B1" s="98" t="s">
        <v>179</v>
      </c>
      <c r="C1" s="99"/>
      <c r="D1" s="99"/>
    </row>
    <row r="2" spans="2:4" ht="15" customHeight="1" x14ac:dyDescent="0.3">
      <c r="B2" s="100" t="s">
        <v>180</v>
      </c>
      <c r="C2" s="101"/>
      <c r="D2" s="101"/>
    </row>
    <row r="4" spans="2:4" ht="15" customHeight="1" x14ac:dyDescent="0.3">
      <c r="B4" s="102" t="s">
        <v>181</v>
      </c>
      <c r="C4" s="99"/>
      <c r="D4" s="99"/>
    </row>
    <row r="5" spans="2:4" ht="15" customHeight="1" x14ac:dyDescent="0.3">
      <c r="B5" s="99"/>
      <c r="C5" s="99"/>
      <c r="D5" s="99"/>
    </row>
    <row r="6" spans="2:4" ht="15" customHeight="1" x14ac:dyDescent="0.3">
      <c r="B6" s="99"/>
      <c r="C6" s="99"/>
      <c r="D6" s="99"/>
    </row>
    <row r="7" spans="2:4" ht="15" customHeight="1" x14ac:dyDescent="0.3">
      <c r="B7" s="99"/>
      <c r="C7" s="99"/>
      <c r="D7" s="99"/>
    </row>
    <row r="9" spans="2:4" ht="15" customHeight="1" x14ac:dyDescent="0.3">
      <c r="B9" s="35" t="s">
        <v>182</v>
      </c>
    </row>
    <row r="10" spans="2:4" ht="15" customHeight="1" x14ac:dyDescent="0.3">
      <c r="B10" s="36" t="s">
        <v>183</v>
      </c>
      <c r="C10" s="103" t="s">
        <v>184</v>
      </c>
      <c r="D10" s="103"/>
    </row>
    <row r="11" spans="2:4" ht="15" customHeight="1" x14ac:dyDescent="0.3">
      <c r="B11" s="36" t="s">
        <v>183</v>
      </c>
      <c r="C11" s="103" t="s">
        <v>185</v>
      </c>
      <c r="D11" s="103"/>
    </row>
    <row r="12" spans="2:4" ht="15" customHeight="1" x14ac:dyDescent="0.3">
      <c r="B12" s="36" t="s">
        <v>183</v>
      </c>
      <c r="C12" s="103" t="s">
        <v>186</v>
      </c>
      <c r="D12" s="103"/>
    </row>
    <row r="13" spans="2:4" ht="15" customHeight="1" x14ac:dyDescent="0.3">
      <c r="B13" s="36" t="s">
        <v>183</v>
      </c>
      <c r="C13" s="103" t="s">
        <v>187</v>
      </c>
      <c r="D13" s="103"/>
    </row>
    <row r="14" spans="2:4" ht="15" customHeight="1" x14ac:dyDescent="0.3">
      <c r="B14" s="36" t="s">
        <v>183</v>
      </c>
      <c r="C14" s="103" t="s">
        <v>188</v>
      </c>
      <c r="D14" s="103"/>
    </row>
    <row r="15" spans="2:4" ht="15" customHeight="1" x14ac:dyDescent="0.3">
      <c r="B15" s="36" t="s">
        <v>183</v>
      </c>
      <c r="C15" s="103" t="s">
        <v>189</v>
      </c>
      <c r="D15" s="103"/>
    </row>
    <row r="17" spans="2:4" ht="15" customHeight="1" x14ac:dyDescent="0.3">
      <c r="B17" s="35" t="s">
        <v>190</v>
      </c>
    </row>
    <row r="18" spans="2:4" ht="24" customHeight="1" x14ac:dyDescent="0.3">
      <c r="B18" s="37" t="s">
        <v>191</v>
      </c>
      <c r="C18" s="37" t="s">
        <v>192</v>
      </c>
      <c r="D18" s="37" t="s">
        <v>193</v>
      </c>
    </row>
    <row r="19" spans="2:4" ht="30" customHeight="1" x14ac:dyDescent="0.3">
      <c r="B19" s="38" t="s">
        <v>194</v>
      </c>
      <c r="C19" s="39" t="s">
        <v>195</v>
      </c>
      <c r="D19" s="40" t="s">
        <v>196</v>
      </c>
    </row>
    <row r="20" spans="2:4" ht="30" customHeight="1" x14ac:dyDescent="0.3">
      <c r="B20" s="38" t="s">
        <v>197</v>
      </c>
      <c r="C20" s="39" t="s">
        <v>198</v>
      </c>
      <c r="D20" s="40" t="s">
        <v>196</v>
      </c>
    </row>
    <row r="21" spans="2:4" ht="30" customHeight="1" x14ac:dyDescent="0.3">
      <c r="B21" s="38" t="s">
        <v>199</v>
      </c>
      <c r="C21" s="39" t="s">
        <v>200</v>
      </c>
      <c r="D21" s="40" t="s">
        <v>196</v>
      </c>
    </row>
    <row r="22" spans="2:4" ht="30" customHeight="1" x14ac:dyDescent="0.3">
      <c r="B22" s="38" t="s">
        <v>201</v>
      </c>
      <c r="C22" s="39" t="s">
        <v>202</v>
      </c>
      <c r="D22" s="40" t="s">
        <v>196</v>
      </c>
    </row>
    <row r="23" spans="2:4" ht="30" customHeight="1" x14ac:dyDescent="0.3">
      <c r="B23" s="38" t="s">
        <v>203</v>
      </c>
      <c r="C23" s="39" t="s">
        <v>204</v>
      </c>
      <c r="D23" s="40" t="s">
        <v>205</v>
      </c>
    </row>
    <row r="24" spans="2:4" ht="30" customHeight="1" x14ac:dyDescent="0.3">
      <c r="B24" s="38" t="s">
        <v>206</v>
      </c>
      <c r="C24" s="39" t="s">
        <v>207</v>
      </c>
      <c r="D24" s="40" t="s">
        <v>208</v>
      </c>
    </row>
    <row r="25" spans="2:4" ht="42.45" customHeight="1" x14ac:dyDescent="0.3">
      <c r="B25" s="38" t="s">
        <v>209</v>
      </c>
      <c r="C25" s="39" t="s">
        <v>210</v>
      </c>
      <c r="D25" s="40" t="s">
        <v>211</v>
      </c>
    </row>
    <row r="27" spans="2:4" ht="15" customHeight="1" x14ac:dyDescent="0.3">
      <c r="B27" s="96" t="s">
        <v>225</v>
      </c>
      <c r="C27" s="97"/>
      <c r="D27" s="97"/>
    </row>
    <row r="28" spans="2:4" ht="15" customHeight="1" x14ac:dyDescent="0.3">
      <c r="B28" s="97"/>
      <c r="C28" s="97"/>
      <c r="D28" s="97"/>
    </row>
    <row r="29" spans="2:4" ht="15" customHeight="1" x14ac:dyDescent="0.3">
      <c r="B29" s="97"/>
      <c r="C29" s="97"/>
      <c r="D29" s="97"/>
    </row>
    <row r="31" spans="2:4" x14ac:dyDescent="0.3">
      <c r="B31" s="95" t="s">
        <v>212</v>
      </c>
      <c r="C31" s="95"/>
      <c r="D31" s="95"/>
    </row>
  </sheetData>
  <mergeCells count="11">
    <mergeCell ref="B31:D31"/>
    <mergeCell ref="B27:D29"/>
    <mergeCell ref="B1:D1"/>
    <mergeCell ref="B2:D2"/>
    <mergeCell ref="B4:D7"/>
    <mergeCell ref="C10:D10"/>
    <mergeCell ref="C11:D11"/>
    <mergeCell ref="C12:D12"/>
    <mergeCell ref="C13:D13"/>
    <mergeCell ref="C14:D14"/>
    <mergeCell ref="C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Tablero</vt:lpstr>
      <vt:lpstr>Instrucciones</vt:lpstr>
      <vt:lpstr>Inventario</vt:lpstr>
      <vt:lpstr>Ventas</vt:lpstr>
      <vt:lpstr>Servicios ADIMCLO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ADIMCLO SAS</dc:creator>
  <cp:lastModifiedBy>Viviana Daconte</cp:lastModifiedBy>
  <cp:revision>0</cp:revision>
  <dcterms:created xsi:type="dcterms:W3CDTF">2026-07-27T16:29:33Z</dcterms:created>
  <dcterms:modified xsi:type="dcterms:W3CDTF">2026-08-05T21:21:11Z</dcterms:modified>
  <dc:language>en-US</dc:language>
</cp:coreProperties>
</file>