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uario\Desktop\ADC-Brochure 2026\"/>
    </mc:Choice>
  </mc:AlternateContent>
  <xr:revisionPtr revIDLastSave="0" documentId="13_ncr:1_{D168F6F6-BE58-442F-A7D9-E38F3A74C315}" xr6:coauthVersionLast="47" xr6:coauthVersionMax="47" xr10:uidLastSave="{00000000-0000-0000-0000-000000000000}"/>
  <bookViews>
    <workbookView xWindow="28680" yWindow="-120" windowWidth="29040" windowHeight="15720" tabRatio="630" activeTab="1" xr2:uid="{00000000-000D-0000-FFFF-FFFF00000000}"/>
  </bookViews>
  <sheets>
    <sheet name="Tablero" sheetId="1" r:id="rId1"/>
    <sheet name="Instrucciones" sheetId="2" r:id="rId2"/>
    <sheet name="Profesionales" sheetId="3" r:id="rId3"/>
    <sheet name="Servicios" sheetId="4" r:id="rId4"/>
    <sheet name="Insumos" sheetId="5" r:id="rId5"/>
    <sheet name="Fichas" sheetId="6" r:id="rId6"/>
    <sheet name="Ventas" sheetId="7" r:id="rId7"/>
    <sheet name="Servicios ADIMCLO" sheetId="8" r:id="rId8"/>
  </sheets>
  <definedNames>
    <definedName name="_xlnm._FilterDatabase" localSheetId="6" hidden="1">Ventas!$A$4:$M$404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5" i="7" l="1"/>
  <c r="L405" i="7"/>
  <c r="M405" i="7"/>
  <c r="H405" i="7"/>
  <c r="I404" i="7"/>
  <c r="K404" i="7" s="1"/>
  <c r="H404" i="7"/>
  <c r="E404" i="7"/>
  <c r="B404" i="7"/>
  <c r="I403" i="7"/>
  <c r="K403" i="7" s="1"/>
  <c r="H403" i="7"/>
  <c r="E403" i="7"/>
  <c r="B403" i="7"/>
  <c r="I402" i="7"/>
  <c r="K402" i="7" s="1"/>
  <c r="H402" i="7"/>
  <c r="E402" i="7"/>
  <c r="B402" i="7"/>
  <c r="I401" i="7"/>
  <c r="K401" i="7" s="1"/>
  <c r="H401" i="7"/>
  <c r="E401" i="7"/>
  <c r="B401" i="7"/>
  <c r="I400" i="7"/>
  <c r="K400" i="7" s="1"/>
  <c r="H400" i="7"/>
  <c r="E400" i="7"/>
  <c r="B400" i="7"/>
  <c r="I399" i="7"/>
  <c r="K399" i="7" s="1"/>
  <c r="H399" i="7"/>
  <c r="E399" i="7"/>
  <c r="B399" i="7"/>
  <c r="I398" i="7"/>
  <c r="K398" i="7" s="1"/>
  <c r="H398" i="7"/>
  <c r="E398" i="7"/>
  <c r="B398" i="7"/>
  <c r="I397" i="7"/>
  <c r="K397" i="7" s="1"/>
  <c r="H397" i="7"/>
  <c r="E397" i="7"/>
  <c r="B397" i="7"/>
  <c r="I396" i="7"/>
  <c r="K396" i="7" s="1"/>
  <c r="H396" i="7"/>
  <c r="E396" i="7"/>
  <c r="B396" i="7"/>
  <c r="I395" i="7"/>
  <c r="K395" i="7" s="1"/>
  <c r="H395" i="7"/>
  <c r="E395" i="7"/>
  <c r="B395" i="7"/>
  <c r="I394" i="7"/>
  <c r="K394" i="7" s="1"/>
  <c r="H394" i="7"/>
  <c r="E394" i="7"/>
  <c r="B394" i="7"/>
  <c r="I393" i="7"/>
  <c r="K393" i="7" s="1"/>
  <c r="H393" i="7"/>
  <c r="E393" i="7"/>
  <c r="B393" i="7"/>
  <c r="I392" i="7"/>
  <c r="K392" i="7" s="1"/>
  <c r="H392" i="7"/>
  <c r="E392" i="7"/>
  <c r="B392" i="7"/>
  <c r="I391" i="7"/>
  <c r="K391" i="7" s="1"/>
  <c r="H391" i="7"/>
  <c r="E391" i="7"/>
  <c r="B391" i="7"/>
  <c r="I390" i="7"/>
  <c r="K390" i="7" s="1"/>
  <c r="H390" i="7"/>
  <c r="E390" i="7"/>
  <c r="B390" i="7"/>
  <c r="I389" i="7"/>
  <c r="K389" i="7" s="1"/>
  <c r="H389" i="7"/>
  <c r="E389" i="7"/>
  <c r="B389" i="7"/>
  <c r="I388" i="7"/>
  <c r="K388" i="7" s="1"/>
  <c r="H388" i="7"/>
  <c r="E388" i="7"/>
  <c r="B388" i="7"/>
  <c r="I387" i="7"/>
  <c r="K387" i="7" s="1"/>
  <c r="H387" i="7"/>
  <c r="E387" i="7"/>
  <c r="B387" i="7"/>
  <c r="I386" i="7"/>
  <c r="K386" i="7" s="1"/>
  <c r="H386" i="7"/>
  <c r="E386" i="7"/>
  <c r="B386" i="7"/>
  <c r="I385" i="7"/>
  <c r="K385" i="7" s="1"/>
  <c r="H385" i="7"/>
  <c r="E385" i="7"/>
  <c r="B385" i="7"/>
  <c r="I384" i="7"/>
  <c r="K384" i="7" s="1"/>
  <c r="H384" i="7"/>
  <c r="E384" i="7"/>
  <c r="B384" i="7"/>
  <c r="I383" i="7"/>
  <c r="K383" i="7" s="1"/>
  <c r="H383" i="7"/>
  <c r="E383" i="7"/>
  <c r="B383" i="7"/>
  <c r="I382" i="7"/>
  <c r="K382" i="7" s="1"/>
  <c r="H382" i="7"/>
  <c r="E382" i="7"/>
  <c r="B382" i="7"/>
  <c r="D73" i="1"/>
  <c r="D72" i="1"/>
  <c r="D71" i="1"/>
  <c r="D70" i="1"/>
  <c r="D69" i="1"/>
  <c r="D68" i="1"/>
  <c r="D67" i="1"/>
  <c r="B73" i="1"/>
  <c r="B72" i="1"/>
  <c r="B71" i="1"/>
  <c r="B70" i="1"/>
  <c r="B69" i="1"/>
  <c r="B68" i="1"/>
  <c r="B67" i="1"/>
  <c r="B45" i="1"/>
  <c r="B44" i="1"/>
  <c r="B43" i="1"/>
  <c r="B42" i="1"/>
  <c r="B41" i="1"/>
  <c r="B40" i="1"/>
  <c r="B39" i="1"/>
  <c r="B38" i="1"/>
  <c r="B37" i="1"/>
  <c r="B36" i="1"/>
  <c r="B35" i="1"/>
  <c r="B34" i="1"/>
  <c r="I381" i="7"/>
  <c r="K381" i="7" s="1"/>
  <c r="H381" i="7"/>
  <c r="E381" i="7"/>
  <c r="B381" i="7"/>
  <c r="I380" i="7"/>
  <c r="K380" i="7" s="1"/>
  <c r="H380" i="7"/>
  <c r="E380" i="7"/>
  <c r="B380" i="7"/>
  <c r="I379" i="7"/>
  <c r="K379" i="7" s="1"/>
  <c r="H379" i="7"/>
  <c r="E379" i="7"/>
  <c r="B379" i="7"/>
  <c r="I378" i="7"/>
  <c r="K378" i="7" s="1"/>
  <c r="H378" i="7"/>
  <c r="E378" i="7"/>
  <c r="B378" i="7"/>
  <c r="I377" i="7"/>
  <c r="K377" i="7" s="1"/>
  <c r="H377" i="7"/>
  <c r="E377" i="7"/>
  <c r="B377" i="7"/>
  <c r="I376" i="7"/>
  <c r="K376" i="7" s="1"/>
  <c r="H376" i="7"/>
  <c r="E376" i="7"/>
  <c r="B376" i="7"/>
  <c r="I375" i="7"/>
  <c r="K375" i="7" s="1"/>
  <c r="H375" i="7"/>
  <c r="E375" i="7"/>
  <c r="B375" i="7"/>
  <c r="I374" i="7"/>
  <c r="K374" i="7" s="1"/>
  <c r="H374" i="7"/>
  <c r="E374" i="7"/>
  <c r="B374" i="7"/>
  <c r="I373" i="7"/>
  <c r="K373" i="7" s="1"/>
  <c r="H373" i="7"/>
  <c r="E373" i="7"/>
  <c r="B373" i="7"/>
  <c r="I372" i="7"/>
  <c r="K372" i="7" s="1"/>
  <c r="H372" i="7"/>
  <c r="E372" i="7"/>
  <c r="B372" i="7"/>
  <c r="I371" i="7"/>
  <c r="K371" i="7" s="1"/>
  <c r="H371" i="7"/>
  <c r="E371" i="7"/>
  <c r="B371" i="7"/>
  <c r="I370" i="7"/>
  <c r="K370" i="7" s="1"/>
  <c r="H370" i="7"/>
  <c r="E370" i="7"/>
  <c r="B370" i="7"/>
  <c r="I369" i="7"/>
  <c r="K369" i="7" s="1"/>
  <c r="H369" i="7"/>
  <c r="E369" i="7"/>
  <c r="B369" i="7"/>
  <c r="I368" i="7"/>
  <c r="K368" i="7" s="1"/>
  <c r="H368" i="7"/>
  <c r="E368" i="7"/>
  <c r="B368" i="7"/>
  <c r="I367" i="7"/>
  <c r="K367" i="7" s="1"/>
  <c r="H367" i="7"/>
  <c r="E367" i="7"/>
  <c r="B367" i="7"/>
  <c r="I366" i="7"/>
  <c r="K366" i="7" s="1"/>
  <c r="H366" i="7"/>
  <c r="E366" i="7"/>
  <c r="B366" i="7"/>
  <c r="I365" i="7"/>
  <c r="K365" i="7" s="1"/>
  <c r="H365" i="7"/>
  <c r="E365" i="7"/>
  <c r="B365" i="7"/>
  <c r="I364" i="7"/>
  <c r="K364" i="7" s="1"/>
  <c r="H364" i="7"/>
  <c r="E364" i="7"/>
  <c r="B364" i="7"/>
  <c r="I363" i="7"/>
  <c r="K363" i="7" s="1"/>
  <c r="H363" i="7"/>
  <c r="E363" i="7"/>
  <c r="B363" i="7"/>
  <c r="I362" i="7"/>
  <c r="K362" i="7" s="1"/>
  <c r="H362" i="7"/>
  <c r="E362" i="7"/>
  <c r="B362" i="7"/>
  <c r="I361" i="7"/>
  <c r="K361" i="7" s="1"/>
  <c r="H361" i="7"/>
  <c r="E361" i="7"/>
  <c r="B361" i="7"/>
  <c r="I360" i="7"/>
  <c r="K360" i="7" s="1"/>
  <c r="H360" i="7"/>
  <c r="E360" i="7"/>
  <c r="B360" i="7"/>
  <c r="I359" i="7"/>
  <c r="K359" i="7" s="1"/>
  <c r="H359" i="7"/>
  <c r="E359" i="7"/>
  <c r="B359" i="7"/>
  <c r="I358" i="7"/>
  <c r="K358" i="7" s="1"/>
  <c r="H358" i="7"/>
  <c r="E358" i="7"/>
  <c r="B358" i="7"/>
  <c r="I357" i="7"/>
  <c r="K357" i="7" s="1"/>
  <c r="H357" i="7"/>
  <c r="E357" i="7"/>
  <c r="B357" i="7"/>
  <c r="I356" i="7"/>
  <c r="K356" i="7" s="1"/>
  <c r="H356" i="7"/>
  <c r="E356" i="7"/>
  <c r="B356" i="7"/>
  <c r="I355" i="7"/>
  <c r="K355" i="7" s="1"/>
  <c r="H355" i="7"/>
  <c r="E355" i="7"/>
  <c r="B355" i="7"/>
  <c r="I354" i="7"/>
  <c r="K354" i="7" s="1"/>
  <c r="H354" i="7"/>
  <c r="E354" i="7"/>
  <c r="B354" i="7"/>
  <c r="I353" i="7"/>
  <c r="K353" i="7" s="1"/>
  <c r="H353" i="7"/>
  <c r="E353" i="7"/>
  <c r="B353" i="7"/>
  <c r="I352" i="7"/>
  <c r="K352" i="7" s="1"/>
  <c r="H352" i="7"/>
  <c r="E352" i="7"/>
  <c r="B352" i="7"/>
  <c r="I351" i="7"/>
  <c r="K351" i="7" s="1"/>
  <c r="H351" i="7"/>
  <c r="E351" i="7"/>
  <c r="B351" i="7"/>
  <c r="I350" i="7"/>
  <c r="K350" i="7" s="1"/>
  <c r="H350" i="7"/>
  <c r="E350" i="7"/>
  <c r="B350" i="7"/>
  <c r="I349" i="7"/>
  <c r="K349" i="7" s="1"/>
  <c r="H349" i="7"/>
  <c r="E349" i="7"/>
  <c r="B349" i="7"/>
  <c r="I348" i="7"/>
  <c r="K348" i="7" s="1"/>
  <c r="H348" i="7"/>
  <c r="E348" i="7"/>
  <c r="B348" i="7"/>
  <c r="I347" i="7"/>
  <c r="K347" i="7" s="1"/>
  <c r="H347" i="7"/>
  <c r="E347" i="7"/>
  <c r="B347" i="7"/>
  <c r="I346" i="7"/>
  <c r="K346" i="7" s="1"/>
  <c r="H346" i="7"/>
  <c r="E346" i="7"/>
  <c r="B346" i="7"/>
  <c r="I345" i="7"/>
  <c r="K345" i="7" s="1"/>
  <c r="H345" i="7"/>
  <c r="E345" i="7"/>
  <c r="B345" i="7"/>
  <c r="I344" i="7"/>
  <c r="K344" i="7" s="1"/>
  <c r="H344" i="7"/>
  <c r="E344" i="7"/>
  <c r="B344" i="7"/>
  <c r="I343" i="7"/>
  <c r="K343" i="7" s="1"/>
  <c r="H343" i="7"/>
  <c r="E343" i="7"/>
  <c r="B343" i="7"/>
  <c r="I342" i="7"/>
  <c r="K342" i="7" s="1"/>
  <c r="H342" i="7"/>
  <c r="E342" i="7"/>
  <c r="B342" i="7"/>
  <c r="I341" i="7"/>
  <c r="K341" i="7" s="1"/>
  <c r="H341" i="7"/>
  <c r="E341" i="7"/>
  <c r="B341" i="7"/>
  <c r="I340" i="7"/>
  <c r="K340" i="7" s="1"/>
  <c r="H340" i="7"/>
  <c r="E340" i="7"/>
  <c r="B340" i="7"/>
  <c r="I339" i="7"/>
  <c r="K339" i="7" s="1"/>
  <c r="H339" i="7"/>
  <c r="E339" i="7"/>
  <c r="B339" i="7"/>
  <c r="I338" i="7"/>
  <c r="K338" i="7" s="1"/>
  <c r="H338" i="7"/>
  <c r="E338" i="7"/>
  <c r="B338" i="7"/>
  <c r="I337" i="7"/>
  <c r="K337" i="7" s="1"/>
  <c r="H337" i="7"/>
  <c r="E337" i="7"/>
  <c r="B337" i="7"/>
  <c r="I336" i="7"/>
  <c r="K336" i="7" s="1"/>
  <c r="H336" i="7"/>
  <c r="E336" i="7"/>
  <c r="B336" i="7"/>
  <c r="I335" i="7"/>
  <c r="K335" i="7" s="1"/>
  <c r="H335" i="7"/>
  <c r="E335" i="7"/>
  <c r="B335" i="7"/>
  <c r="I334" i="7"/>
  <c r="K334" i="7" s="1"/>
  <c r="H334" i="7"/>
  <c r="E334" i="7"/>
  <c r="B334" i="7"/>
  <c r="I333" i="7"/>
  <c r="K333" i="7" s="1"/>
  <c r="H333" i="7"/>
  <c r="E333" i="7"/>
  <c r="B333" i="7"/>
  <c r="I332" i="7"/>
  <c r="K332" i="7" s="1"/>
  <c r="H332" i="7"/>
  <c r="E332" i="7"/>
  <c r="B332" i="7"/>
  <c r="I331" i="7"/>
  <c r="K331" i="7" s="1"/>
  <c r="H331" i="7"/>
  <c r="E331" i="7"/>
  <c r="B331" i="7"/>
  <c r="I330" i="7"/>
  <c r="K330" i="7" s="1"/>
  <c r="H330" i="7"/>
  <c r="E330" i="7"/>
  <c r="B330" i="7"/>
  <c r="I329" i="7"/>
  <c r="K329" i="7" s="1"/>
  <c r="H329" i="7"/>
  <c r="E329" i="7"/>
  <c r="B329" i="7"/>
  <c r="I328" i="7"/>
  <c r="K328" i="7" s="1"/>
  <c r="H328" i="7"/>
  <c r="E328" i="7"/>
  <c r="B328" i="7"/>
  <c r="I327" i="7"/>
  <c r="K327" i="7" s="1"/>
  <c r="H327" i="7"/>
  <c r="E327" i="7"/>
  <c r="B327" i="7"/>
  <c r="I326" i="7"/>
  <c r="K326" i="7" s="1"/>
  <c r="H326" i="7"/>
  <c r="E326" i="7"/>
  <c r="B326" i="7"/>
  <c r="I325" i="7"/>
  <c r="K325" i="7" s="1"/>
  <c r="H325" i="7"/>
  <c r="E325" i="7"/>
  <c r="B325" i="7"/>
  <c r="I324" i="7"/>
  <c r="K324" i="7" s="1"/>
  <c r="H324" i="7"/>
  <c r="E324" i="7"/>
  <c r="B324" i="7"/>
  <c r="I323" i="7"/>
  <c r="K323" i="7" s="1"/>
  <c r="H323" i="7"/>
  <c r="E323" i="7"/>
  <c r="B323" i="7"/>
  <c r="I322" i="7"/>
  <c r="K322" i="7" s="1"/>
  <c r="H322" i="7"/>
  <c r="E322" i="7"/>
  <c r="B322" i="7"/>
  <c r="I321" i="7"/>
  <c r="K321" i="7" s="1"/>
  <c r="H321" i="7"/>
  <c r="E321" i="7"/>
  <c r="B321" i="7"/>
  <c r="I320" i="7"/>
  <c r="K320" i="7" s="1"/>
  <c r="H320" i="7"/>
  <c r="E320" i="7"/>
  <c r="B320" i="7"/>
  <c r="I319" i="7"/>
  <c r="K319" i="7" s="1"/>
  <c r="H319" i="7"/>
  <c r="E319" i="7"/>
  <c r="B319" i="7"/>
  <c r="I318" i="7"/>
  <c r="K318" i="7" s="1"/>
  <c r="H318" i="7"/>
  <c r="E318" i="7"/>
  <c r="B318" i="7"/>
  <c r="I317" i="7"/>
  <c r="K317" i="7" s="1"/>
  <c r="H317" i="7"/>
  <c r="E317" i="7"/>
  <c r="B317" i="7"/>
  <c r="I316" i="7"/>
  <c r="K316" i="7" s="1"/>
  <c r="H316" i="7"/>
  <c r="E316" i="7"/>
  <c r="B316" i="7"/>
  <c r="I315" i="7"/>
  <c r="K315" i="7" s="1"/>
  <c r="H315" i="7"/>
  <c r="E315" i="7"/>
  <c r="B315" i="7"/>
  <c r="I314" i="7"/>
  <c r="K314" i="7" s="1"/>
  <c r="H314" i="7"/>
  <c r="E314" i="7"/>
  <c r="B314" i="7"/>
  <c r="I313" i="7"/>
  <c r="K313" i="7" s="1"/>
  <c r="H313" i="7"/>
  <c r="E313" i="7"/>
  <c r="B313" i="7"/>
  <c r="I312" i="7"/>
  <c r="K312" i="7" s="1"/>
  <c r="H312" i="7"/>
  <c r="E312" i="7"/>
  <c r="B312" i="7"/>
  <c r="I311" i="7"/>
  <c r="K311" i="7" s="1"/>
  <c r="H311" i="7"/>
  <c r="E311" i="7"/>
  <c r="B311" i="7"/>
  <c r="I310" i="7"/>
  <c r="K310" i="7" s="1"/>
  <c r="H310" i="7"/>
  <c r="E310" i="7"/>
  <c r="B310" i="7"/>
  <c r="I309" i="7"/>
  <c r="K309" i="7" s="1"/>
  <c r="H309" i="7"/>
  <c r="E309" i="7"/>
  <c r="B309" i="7"/>
  <c r="I308" i="7"/>
  <c r="K308" i="7" s="1"/>
  <c r="H308" i="7"/>
  <c r="E308" i="7"/>
  <c r="B308" i="7"/>
  <c r="I307" i="7"/>
  <c r="K307" i="7" s="1"/>
  <c r="H307" i="7"/>
  <c r="E307" i="7"/>
  <c r="B307" i="7"/>
  <c r="I306" i="7"/>
  <c r="K306" i="7" s="1"/>
  <c r="H306" i="7"/>
  <c r="E306" i="7"/>
  <c r="B306" i="7"/>
  <c r="I305" i="7"/>
  <c r="K305" i="7" s="1"/>
  <c r="H305" i="7"/>
  <c r="E305" i="7"/>
  <c r="B305" i="7"/>
  <c r="I304" i="7"/>
  <c r="K304" i="7" s="1"/>
  <c r="H304" i="7"/>
  <c r="E304" i="7"/>
  <c r="B304" i="7"/>
  <c r="I303" i="7"/>
  <c r="K303" i="7" s="1"/>
  <c r="H303" i="7"/>
  <c r="E303" i="7"/>
  <c r="B303" i="7"/>
  <c r="I302" i="7"/>
  <c r="K302" i="7" s="1"/>
  <c r="H302" i="7"/>
  <c r="E302" i="7"/>
  <c r="B302" i="7"/>
  <c r="I301" i="7"/>
  <c r="K301" i="7" s="1"/>
  <c r="H301" i="7"/>
  <c r="E301" i="7"/>
  <c r="B301" i="7"/>
  <c r="I300" i="7"/>
  <c r="K300" i="7" s="1"/>
  <c r="H300" i="7"/>
  <c r="E300" i="7"/>
  <c r="B300" i="7"/>
  <c r="I299" i="7"/>
  <c r="K299" i="7" s="1"/>
  <c r="H299" i="7"/>
  <c r="E299" i="7"/>
  <c r="B299" i="7"/>
  <c r="I298" i="7"/>
  <c r="K298" i="7" s="1"/>
  <c r="H298" i="7"/>
  <c r="E298" i="7"/>
  <c r="B298" i="7"/>
  <c r="I297" i="7"/>
  <c r="K297" i="7" s="1"/>
  <c r="H297" i="7"/>
  <c r="E297" i="7"/>
  <c r="B297" i="7"/>
  <c r="I296" i="7"/>
  <c r="K296" i="7" s="1"/>
  <c r="H296" i="7"/>
  <c r="E296" i="7"/>
  <c r="B296" i="7"/>
  <c r="I295" i="7"/>
  <c r="K295" i="7" s="1"/>
  <c r="H295" i="7"/>
  <c r="E295" i="7"/>
  <c r="B295" i="7"/>
  <c r="I294" i="7"/>
  <c r="K294" i="7" s="1"/>
  <c r="H294" i="7"/>
  <c r="E294" i="7"/>
  <c r="B294" i="7"/>
  <c r="I293" i="7"/>
  <c r="K293" i="7" s="1"/>
  <c r="H293" i="7"/>
  <c r="E293" i="7"/>
  <c r="B293" i="7"/>
  <c r="I292" i="7"/>
  <c r="K292" i="7" s="1"/>
  <c r="H292" i="7"/>
  <c r="E292" i="7"/>
  <c r="B292" i="7"/>
  <c r="I291" i="7"/>
  <c r="K291" i="7" s="1"/>
  <c r="H291" i="7"/>
  <c r="E291" i="7"/>
  <c r="B291" i="7"/>
  <c r="I290" i="7"/>
  <c r="K290" i="7" s="1"/>
  <c r="H290" i="7"/>
  <c r="E290" i="7"/>
  <c r="B290" i="7"/>
  <c r="I289" i="7"/>
  <c r="K289" i="7" s="1"/>
  <c r="H289" i="7"/>
  <c r="E289" i="7"/>
  <c r="B289" i="7"/>
  <c r="I288" i="7"/>
  <c r="K288" i="7" s="1"/>
  <c r="H288" i="7"/>
  <c r="E288" i="7"/>
  <c r="B288" i="7"/>
  <c r="I287" i="7"/>
  <c r="K287" i="7" s="1"/>
  <c r="H287" i="7"/>
  <c r="E287" i="7"/>
  <c r="B287" i="7"/>
  <c r="I286" i="7"/>
  <c r="K286" i="7" s="1"/>
  <c r="H286" i="7"/>
  <c r="E286" i="7"/>
  <c r="B286" i="7"/>
  <c r="I285" i="7"/>
  <c r="K285" i="7" s="1"/>
  <c r="H285" i="7"/>
  <c r="E285" i="7"/>
  <c r="B285" i="7"/>
  <c r="I284" i="7"/>
  <c r="K284" i="7" s="1"/>
  <c r="H284" i="7"/>
  <c r="E284" i="7"/>
  <c r="B284" i="7"/>
  <c r="I283" i="7"/>
  <c r="K283" i="7" s="1"/>
  <c r="H283" i="7"/>
  <c r="E283" i="7"/>
  <c r="B283" i="7"/>
  <c r="I282" i="7"/>
  <c r="K282" i="7" s="1"/>
  <c r="H282" i="7"/>
  <c r="E282" i="7"/>
  <c r="B282" i="7"/>
  <c r="I281" i="7"/>
  <c r="K281" i="7" s="1"/>
  <c r="H281" i="7"/>
  <c r="E281" i="7"/>
  <c r="B281" i="7"/>
  <c r="I280" i="7"/>
  <c r="K280" i="7" s="1"/>
  <c r="H280" i="7"/>
  <c r="E280" i="7"/>
  <c r="B280" i="7"/>
  <c r="I279" i="7"/>
  <c r="K279" i="7" s="1"/>
  <c r="H279" i="7"/>
  <c r="E279" i="7"/>
  <c r="B279" i="7"/>
  <c r="I278" i="7"/>
  <c r="K278" i="7" s="1"/>
  <c r="H278" i="7"/>
  <c r="E278" i="7"/>
  <c r="B278" i="7"/>
  <c r="I277" i="7"/>
  <c r="K277" i="7" s="1"/>
  <c r="H277" i="7"/>
  <c r="E277" i="7"/>
  <c r="B277" i="7"/>
  <c r="I276" i="7"/>
  <c r="K276" i="7" s="1"/>
  <c r="H276" i="7"/>
  <c r="E276" i="7"/>
  <c r="B276" i="7"/>
  <c r="I275" i="7"/>
  <c r="K275" i="7" s="1"/>
  <c r="H275" i="7"/>
  <c r="E275" i="7"/>
  <c r="B275" i="7"/>
  <c r="I274" i="7"/>
  <c r="K274" i="7" s="1"/>
  <c r="H274" i="7"/>
  <c r="E274" i="7"/>
  <c r="B274" i="7"/>
  <c r="I273" i="7"/>
  <c r="K273" i="7" s="1"/>
  <c r="H273" i="7"/>
  <c r="E273" i="7"/>
  <c r="B273" i="7"/>
  <c r="I272" i="7"/>
  <c r="K272" i="7" s="1"/>
  <c r="H272" i="7"/>
  <c r="E272" i="7"/>
  <c r="B272" i="7"/>
  <c r="I271" i="7"/>
  <c r="K271" i="7" s="1"/>
  <c r="H271" i="7"/>
  <c r="E271" i="7"/>
  <c r="B271" i="7"/>
  <c r="I270" i="7"/>
  <c r="K270" i="7" s="1"/>
  <c r="H270" i="7"/>
  <c r="E270" i="7"/>
  <c r="B270" i="7"/>
  <c r="I269" i="7"/>
  <c r="K269" i="7" s="1"/>
  <c r="H269" i="7"/>
  <c r="E269" i="7"/>
  <c r="B269" i="7"/>
  <c r="I268" i="7"/>
  <c r="K268" i="7" s="1"/>
  <c r="H268" i="7"/>
  <c r="E268" i="7"/>
  <c r="B268" i="7"/>
  <c r="I267" i="7"/>
  <c r="K267" i="7" s="1"/>
  <c r="H267" i="7"/>
  <c r="E267" i="7"/>
  <c r="B267" i="7"/>
  <c r="I266" i="7"/>
  <c r="K266" i="7" s="1"/>
  <c r="H266" i="7"/>
  <c r="E266" i="7"/>
  <c r="B266" i="7"/>
  <c r="I265" i="7"/>
  <c r="K265" i="7" s="1"/>
  <c r="H265" i="7"/>
  <c r="E265" i="7"/>
  <c r="B265" i="7"/>
  <c r="I264" i="7"/>
  <c r="K264" i="7" s="1"/>
  <c r="H264" i="7"/>
  <c r="E264" i="7"/>
  <c r="B264" i="7"/>
  <c r="I263" i="7"/>
  <c r="K263" i="7" s="1"/>
  <c r="H263" i="7"/>
  <c r="E263" i="7"/>
  <c r="B263" i="7"/>
  <c r="I262" i="7"/>
  <c r="K262" i="7" s="1"/>
  <c r="H262" i="7"/>
  <c r="E262" i="7"/>
  <c r="B262" i="7"/>
  <c r="I261" i="7"/>
  <c r="K261" i="7" s="1"/>
  <c r="H261" i="7"/>
  <c r="E261" i="7"/>
  <c r="B261" i="7"/>
  <c r="I260" i="7"/>
  <c r="K260" i="7" s="1"/>
  <c r="H260" i="7"/>
  <c r="E260" i="7"/>
  <c r="B260" i="7"/>
  <c r="I259" i="7"/>
  <c r="K259" i="7" s="1"/>
  <c r="H259" i="7"/>
  <c r="E259" i="7"/>
  <c r="B259" i="7"/>
  <c r="I258" i="7"/>
  <c r="K258" i="7" s="1"/>
  <c r="H258" i="7"/>
  <c r="E258" i="7"/>
  <c r="B258" i="7"/>
  <c r="I257" i="7"/>
  <c r="K257" i="7" s="1"/>
  <c r="H257" i="7"/>
  <c r="E257" i="7"/>
  <c r="B257" i="7"/>
  <c r="I256" i="7"/>
  <c r="K256" i="7" s="1"/>
  <c r="H256" i="7"/>
  <c r="E256" i="7"/>
  <c r="B256" i="7"/>
  <c r="I255" i="7"/>
  <c r="K255" i="7" s="1"/>
  <c r="H255" i="7"/>
  <c r="E255" i="7"/>
  <c r="B255" i="7"/>
  <c r="I254" i="7"/>
  <c r="K254" i="7" s="1"/>
  <c r="H254" i="7"/>
  <c r="E254" i="7"/>
  <c r="B254" i="7"/>
  <c r="I253" i="7"/>
  <c r="K253" i="7" s="1"/>
  <c r="H253" i="7"/>
  <c r="E253" i="7"/>
  <c r="B253" i="7"/>
  <c r="I252" i="7"/>
  <c r="K252" i="7" s="1"/>
  <c r="H252" i="7"/>
  <c r="E252" i="7"/>
  <c r="B252" i="7"/>
  <c r="I251" i="7"/>
  <c r="K251" i="7" s="1"/>
  <c r="H251" i="7"/>
  <c r="E251" i="7"/>
  <c r="B251" i="7"/>
  <c r="I250" i="7"/>
  <c r="K250" i="7" s="1"/>
  <c r="H250" i="7"/>
  <c r="E250" i="7"/>
  <c r="B250" i="7"/>
  <c r="I249" i="7"/>
  <c r="K249" i="7" s="1"/>
  <c r="H249" i="7"/>
  <c r="E249" i="7"/>
  <c r="B249" i="7"/>
  <c r="I248" i="7"/>
  <c r="K248" i="7" s="1"/>
  <c r="H248" i="7"/>
  <c r="E248" i="7"/>
  <c r="B248" i="7"/>
  <c r="I247" i="7"/>
  <c r="K247" i="7" s="1"/>
  <c r="H247" i="7"/>
  <c r="E247" i="7"/>
  <c r="B247" i="7"/>
  <c r="I246" i="7"/>
  <c r="K246" i="7" s="1"/>
  <c r="H246" i="7"/>
  <c r="E246" i="7"/>
  <c r="B246" i="7"/>
  <c r="I245" i="7"/>
  <c r="K245" i="7" s="1"/>
  <c r="H245" i="7"/>
  <c r="E245" i="7"/>
  <c r="B245" i="7"/>
  <c r="I244" i="7"/>
  <c r="K244" i="7" s="1"/>
  <c r="H244" i="7"/>
  <c r="E244" i="7"/>
  <c r="B244" i="7"/>
  <c r="I243" i="7"/>
  <c r="K243" i="7" s="1"/>
  <c r="H243" i="7"/>
  <c r="E243" i="7"/>
  <c r="B243" i="7"/>
  <c r="I242" i="7"/>
  <c r="K242" i="7" s="1"/>
  <c r="H242" i="7"/>
  <c r="E242" i="7"/>
  <c r="B242" i="7"/>
  <c r="I241" i="7"/>
  <c r="K241" i="7" s="1"/>
  <c r="H241" i="7"/>
  <c r="E241" i="7"/>
  <c r="B241" i="7"/>
  <c r="I240" i="7"/>
  <c r="K240" i="7" s="1"/>
  <c r="H240" i="7"/>
  <c r="E240" i="7"/>
  <c r="B240" i="7"/>
  <c r="I239" i="7"/>
  <c r="K239" i="7" s="1"/>
  <c r="H239" i="7"/>
  <c r="E239" i="7"/>
  <c r="B239" i="7"/>
  <c r="I238" i="7"/>
  <c r="K238" i="7" s="1"/>
  <c r="H238" i="7"/>
  <c r="E238" i="7"/>
  <c r="B238" i="7"/>
  <c r="I237" i="7"/>
  <c r="K237" i="7" s="1"/>
  <c r="H237" i="7"/>
  <c r="E237" i="7"/>
  <c r="B237" i="7"/>
  <c r="I236" i="7"/>
  <c r="K236" i="7" s="1"/>
  <c r="H236" i="7"/>
  <c r="E236" i="7"/>
  <c r="B236" i="7"/>
  <c r="I235" i="7"/>
  <c r="K235" i="7" s="1"/>
  <c r="H235" i="7"/>
  <c r="E235" i="7"/>
  <c r="B235" i="7"/>
  <c r="I234" i="7"/>
  <c r="K234" i="7" s="1"/>
  <c r="H234" i="7"/>
  <c r="E234" i="7"/>
  <c r="B234" i="7"/>
  <c r="I233" i="7"/>
  <c r="K233" i="7" s="1"/>
  <c r="H233" i="7"/>
  <c r="E233" i="7"/>
  <c r="B233" i="7"/>
  <c r="I232" i="7"/>
  <c r="K232" i="7" s="1"/>
  <c r="H232" i="7"/>
  <c r="E232" i="7"/>
  <c r="B232" i="7"/>
  <c r="I231" i="7"/>
  <c r="K231" i="7" s="1"/>
  <c r="H231" i="7"/>
  <c r="E231" i="7"/>
  <c r="B231" i="7"/>
  <c r="I230" i="7"/>
  <c r="K230" i="7" s="1"/>
  <c r="H230" i="7"/>
  <c r="E230" i="7"/>
  <c r="B230" i="7"/>
  <c r="I229" i="7"/>
  <c r="K229" i="7" s="1"/>
  <c r="H229" i="7"/>
  <c r="E229" i="7"/>
  <c r="B229" i="7"/>
  <c r="I228" i="7"/>
  <c r="K228" i="7" s="1"/>
  <c r="H228" i="7"/>
  <c r="E228" i="7"/>
  <c r="B228" i="7"/>
  <c r="I227" i="7"/>
  <c r="K227" i="7" s="1"/>
  <c r="H227" i="7"/>
  <c r="E227" i="7"/>
  <c r="B227" i="7"/>
  <c r="I226" i="7"/>
  <c r="K226" i="7" s="1"/>
  <c r="H226" i="7"/>
  <c r="E226" i="7"/>
  <c r="B226" i="7"/>
  <c r="I225" i="7"/>
  <c r="K225" i="7" s="1"/>
  <c r="H225" i="7"/>
  <c r="E225" i="7"/>
  <c r="B225" i="7"/>
  <c r="I224" i="7"/>
  <c r="K224" i="7" s="1"/>
  <c r="H224" i="7"/>
  <c r="E224" i="7"/>
  <c r="B224" i="7"/>
  <c r="I223" i="7"/>
  <c r="K223" i="7" s="1"/>
  <c r="H223" i="7"/>
  <c r="E223" i="7"/>
  <c r="B223" i="7"/>
  <c r="I222" i="7"/>
  <c r="K222" i="7" s="1"/>
  <c r="H222" i="7"/>
  <c r="E222" i="7"/>
  <c r="B222" i="7"/>
  <c r="I221" i="7"/>
  <c r="K221" i="7" s="1"/>
  <c r="H221" i="7"/>
  <c r="E221" i="7"/>
  <c r="B221" i="7"/>
  <c r="I220" i="7"/>
  <c r="K220" i="7" s="1"/>
  <c r="H220" i="7"/>
  <c r="E220" i="7"/>
  <c r="B220" i="7"/>
  <c r="I219" i="7"/>
  <c r="K219" i="7" s="1"/>
  <c r="H219" i="7"/>
  <c r="E219" i="7"/>
  <c r="B219" i="7"/>
  <c r="I218" i="7"/>
  <c r="K218" i="7" s="1"/>
  <c r="H218" i="7"/>
  <c r="E218" i="7"/>
  <c r="B218" i="7"/>
  <c r="I217" i="7"/>
  <c r="K217" i="7" s="1"/>
  <c r="H217" i="7"/>
  <c r="E217" i="7"/>
  <c r="B217" i="7"/>
  <c r="I216" i="7"/>
  <c r="K216" i="7" s="1"/>
  <c r="H216" i="7"/>
  <c r="E216" i="7"/>
  <c r="B216" i="7"/>
  <c r="I215" i="7"/>
  <c r="K215" i="7" s="1"/>
  <c r="H215" i="7"/>
  <c r="E215" i="7"/>
  <c r="B215" i="7"/>
  <c r="I214" i="7"/>
  <c r="K214" i="7" s="1"/>
  <c r="H214" i="7"/>
  <c r="E214" i="7"/>
  <c r="B214" i="7"/>
  <c r="I213" i="7"/>
  <c r="K213" i="7" s="1"/>
  <c r="H213" i="7"/>
  <c r="E213" i="7"/>
  <c r="B213" i="7"/>
  <c r="I212" i="7"/>
  <c r="K212" i="7" s="1"/>
  <c r="H212" i="7"/>
  <c r="E212" i="7"/>
  <c r="B212" i="7"/>
  <c r="I211" i="7"/>
  <c r="K211" i="7" s="1"/>
  <c r="H211" i="7"/>
  <c r="E211" i="7"/>
  <c r="B211" i="7"/>
  <c r="I210" i="7"/>
  <c r="K210" i="7" s="1"/>
  <c r="H210" i="7"/>
  <c r="E210" i="7"/>
  <c r="B210" i="7"/>
  <c r="I209" i="7"/>
  <c r="K209" i="7" s="1"/>
  <c r="H209" i="7"/>
  <c r="E209" i="7"/>
  <c r="B209" i="7"/>
  <c r="I208" i="7"/>
  <c r="K208" i="7" s="1"/>
  <c r="H208" i="7"/>
  <c r="E208" i="7"/>
  <c r="B208" i="7"/>
  <c r="I207" i="7"/>
  <c r="K207" i="7" s="1"/>
  <c r="H207" i="7"/>
  <c r="E207" i="7"/>
  <c r="B207" i="7"/>
  <c r="I206" i="7"/>
  <c r="K206" i="7" s="1"/>
  <c r="H206" i="7"/>
  <c r="E206" i="7"/>
  <c r="B206" i="7"/>
  <c r="I205" i="7"/>
  <c r="K205" i="7" s="1"/>
  <c r="H205" i="7"/>
  <c r="E205" i="7"/>
  <c r="B205" i="7"/>
  <c r="I204" i="7"/>
  <c r="K204" i="7" s="1"/>
  <c r="H204" i="7"/>
  <c r="E204" i="7"/>
  <c r="B204" i="7"/>
  <c r="I203" i="7"/>
  <c r="K203" i="7" s="1"/>
  <c r="H203" i="7"/>
  <c r="E203" i="7"/>
  <c r="B203" i="7"/>
  <c r="I202" i="7"/>
  <c r="K202" i="7" s="1"/>
  <c r="H202" i="7"/>
  <c r="E202" i="7"/>
  <c r="B202" i="7"/>
  <c r="I201" i="7"/>
  <c r="K201" i="7" s="1"/>
  <c r="H201" i="7"/>
  <c r="E201" i="7"/>
  <c r="B201" i="7"/>
  <c r="I200" i="7"/>
  <c r="K200" i="7" s="1"/>
  <c r="H200" i="7"/>
  <c r="E200" i="7"/>
  <c r="B200" i="7"/>
  <c r="I199" i="7"/>
  <c r="K199" i="7" s="1"/>
  <c r="H199" i="7"/>
  <c r="E199" i="7"/>
  <c r="B199" i="7"/>
  <c r="I198" i="7"/>
  <c r="K198" i="7" s="1"/>
  <c r="H198" i="7"/>
  <c r="E198" i="7"/>
  <c r="B198" i="7"/>
  <c r="I197" i="7"/>
  <c r="K197" i="7" s="1"/>
  <c r="H197" i="7"/>
  <c r="D37" i="1" s="1"/>
  <c r="E197" i="7"/>
  <c r="B197" i="7"/>
  <c r="I196" i="7"/>
  <c r="K196" i="7" s="1"/>
  <c r="H196" i="7"/>
  <c r="E196" i="7"/>
  <c r="B196" i="7"/>
  <c r="I195" i="7"/>
  <c r="K195" i="7" s="1"/>
  <c r="H195" i="7"/>
  <c r="E195" i="7"/>
  <c r="B195" i="7"/>
  <c r="I194" i="7"/>
  <c r="K194" i="7" s="1"/>
  <c r="H194" i="7"/>
  <c r="E194" i="7"/>
  <c r="B194" i="7"/>
  <c r="I193" i="7"/>
  <c r="K193" i="7" s="1"/>
  <c r="H193" i="7"/>
  <c r="E193" i="7"/>
  <c r="B193" i="7"/>
  <c r="I192" i="7"/>
  <c r="K192" i="7" s="1"/>
  <c r="H192" i="7"/>
  <c r="E192" i="7"/>
  <c r="B192" i="7"/>
  <c r="I191" i="7"/>
  <c r="K191" i="7" s="1"/>
  <c r="H191" i="7"/>
  <c r="E191" i="7"/>
  <c r="B191" i="7"/>
  <c r="I190" i="7"/>
  <c r="K190" i="7" s="1"/>
  <c r="H190" i="7"/>
  <c r="E190" i="7"/>
  <c r="B190" i="7"/>
  <c r="I189" i="7"/>
  <c r="K189" i="7" s="1"/>
  <c r="H189" i="7"/>
  <c r="E189" i="7"/>
  <c r="B189" i="7"/>
  <c r="I188" i="7"/>
  <c r="K188" i="7" s="1"/>
  <c r="H188" i="7"/>
  <c r="E188" i="7"/>
  <c r="B188" i="7"/>
  <c r="I187" i="7"/>
  <c r="K187" i="7" s="1"/>
  <c r="H187" i="7"/>
  <c r="E187" i="7"/>
  <c r="B187" i="7"/>
  <c r="I186" i="7"/>
  <c r="K186" i="7" s="1"/>
  <c r="H186" i="7"/>
  <c r="E186" i="7"/>
  <c r="B186" i="7"/>
  <c r="I185" i="7"/>
  <c r="K185" i="7" s="1"/>
  <c r="H185" i="7"/>
  <c r="E185" i="7"/>
  <c r="B185" i="7"/>
  <c r="I184" i="7"/>
  <c r="K184" i="7" s="1"/>
  <c r="H184" i="7"/>
  <c r="E184" i="7"/>
  <c r="B184" i="7"/>
  <c r="I183" i="7"/>
  <c r="K183" i="7" s="1"/>
  <c r="H183" i="7"/>
  <c r="E183" i="7"/>
  <c r="B183" i="7"/>
  <c r="I182" i="7"/>
  <c r="K182" i="7" s="1"/>
  <c r="H182" i="7"/>
  <c r="E182" i="7"/>
  <c r="B182" i="7"/>
  <c r="I181" i="7"/>
  <c r="K181" i="7" s="1"/>
  <c r="H181" i="7"/>
  <c r="E181" i="7"/>
  <c r="B181" i="7"/>
  <c r="I180" i="7"/>
  <c r="K180" i="7" s="1"/>
  <c r="H180" i="7"/>
  <c r="E180" i="7"/>
  <c r="B180" i="7"/>
  <c r="I179" i="7"/>
  <c r="K179" i="7" s="1"/>
  <c r="H179" i="7"/>
  <c r="E179" i="7"/>
  <c r="B179" i="7"/>
  <c r="I178" i="7"/>
  <c r="K178" i="7" s="1"/>
  <c r="H178" i="7"/>
  <c r="E178" i="7"/>
  <c r="B178" i="7"/>
  <c r="I177" i="7"/>
  <c r="K177" i="7" s="1"/>
  <c r="H177" i="7"/>
  <c r="E177" i="7"/>
  <c r="B177" i="7"/>
  <c r="I176" i="7"/>
  <c r="K176" i="7" s="1"/>
  <c r="H176" i="7"/>
  <c r="E176" i="7"/>
  <c r="B176" i="7"/>
  <c r="I175" i="7"/>
  <c r="K175" i="7" s="1"/>
  <c r="H175" i="7"/>
  <c r="E175" i="7"/>
  <c r="B175" i="7"/>
  <c r="I174" i="7"/>
  <c r="K174" i="7" s="1"/>
  <c r="H174" i="7"/>
  <c r="E174" i="7"/>
  <c r="B174" i="7"/>
  <c r="I173" i="7"/>
  <c r="K173" i="7" s="1"/>
  <c r="H173" i="7"/>
  <c r="E173" i="7"/>
  <c r="B173" i="7"/>
  <c r="I172" i="7"/>
  <c r="K172" i="7" s="1"/>
  <c r="H172" i="7"/>
  <c r="E172" i="7"/>
  <c r="B172" i="7"/>
  <c r="I171" i="7"/>
  <c r="K171" i="7" s="1"/>
  <c r="H171" i="7"/>
  <c r="E171" i="7"/>
  <c r="B171" i="7"/>
  <c r="I170" i="7"/>
  <c r="K170" i="7" s="1"/>
  <c r="H170" i="7"/>
  <c r="E170" i="7"/>
  <c r="B170" i="7"/>
  <c r="I169" i="7"/>
  <c r="K169" i="7" s="1"/>
  <c r="H169" i="7"/>
  <c r="E169" i="7"/>
  <c r="B169" i="7"/>
  <c r="I168" i="7"/>
  <c r="K168" i="7" s="1"/>
  <c r="H168" i="7"/>
  <c r="E168" i="7"/>
  <c r="B168" i="7"/>
  <c r="I167" i="7"/>
  <c r="K167" i="7" s="1"/>
  <c r="H167" i="7"/>
  <c r="E167" i="7"/>
  <c r="B167" i="7"/>
  <c r="I166" i="7"/>
  <c r="K166" i="7" s="1"/>
  <c r="H166" i="7"/>
  <c r="E166" i="7"/>
  <c r="B166" i="7"/>
  <c r="I165" i="7"/>
  <c r="K165" i="7" s="1"/>
  <c r="H165" i="7"/>
  <c r="E165" i="7"/>
  <c r="B165" i="7"/>
  <c r="I164" i="7"/>
  <c r="K164" i="7" s="1"/>
  <c r="H164" i="7"/>
  <c r="E164" i="7"/>
  <c r="B164" i="7"/>
  <c r="I163" i="7"/>
  <c r="K163" i="7" s="1"/>
  <c r="H163" i="7"/>
  <c r="E163" i="7"/>
  <c r="B163" i="7"/>
  <c r="I162" i="7"/>
  <c r="K162" i="7" s="1"/>
  <c r="H162" i="7"/>
  <c r="E162" i="7"/>
  <c r="B162" i="7"/>
  <c r="I161" i="7"/>
  <c r="K161" i="7" s="1"/>
  <c r="H161" i="7"/>
  <c r="E161" i="7"/>
  <c r="B161" i="7"/>
  <c r="I160" i="7"/>
  <c r="K160" i="7" s="1"/>
  <c r="H160" i="7"/>
  <c r="E160" i="7"/>
  <c r="B160" i="7"/>
  <c r="I159" i="7"/>
  <c r="K159" i="7" s="1"/>
  <c r="H159" i="7"/>
  <c r="E159" i="7"/>
  <c r="B159" i="7"/>
  <c r="I158" i="7"/>
  <c r="K158" i="7" s="1"/>
  <c r="H158" i="7"/>
  <c r="E158" i="7"/>
  <c r="B158" i="7"/>
  <c r="I157" i="7"/>
  <c r="K157" i="7" s="1"/>
  <c r="H157" i="7"/>
  <c r="E157" i="7"/>
  <c r="B157" i="7"/>
  <c r="I156" i="7"/>
  <c r="K156" i="7" s="1"/>
  <c r="H156" i="7"/>
  <c r="E156" i="7"/>
  <c r="B156" i="7"/>
  <c r="I155" i="7"/>
  <c r="K155" i="7" s="1"/>
  <c r="H155" i="7"/>
  <c r="E155" i="7"/>
  <c r="B155" i="7"/>
  <c r="I154" i="7"/>
  <c r="K154" i="7" s="1"/>
  <c r="H154" i="7"/>
  <c r="E154" i="7"/>
  <c r="B154" i="7"/>
  <c r="I153" i="7"/>
  <c r="K153" i="7" s="1"/>
  <c r="H153" i="7"/>
  <c r="E153" i="7"/>
  <c r="B153" i="7"/>
  <c r="I152" i="7"/>
  <c r="K152" i="7" s="1"/>
  <c r="H152" i="7"/>
  <c r="E152" i="7"/>
  <c r="B152" i="7"/>
  <c r="I151" i="7"/>
  <c r="K151" i="7" s="1"/>
  <c r="H151" i="7"/>
  <c r="E151" i="7"/>
  <c r="B151" i="7"/>
  <c r="I150" i="7"/>
  <c r="K150" i="7" s="1"/>
  <c r="H150" i="7"/>
  <c r="E150" i="7"/>
  <c r="B150" i="7"/>
  <c r="I149" i="7"/>
  <c r="K149" i="7" s="1"/>
  <c r="H149" i="7"/>
  <c r="E149" i="7"/>
  <c r="B149" i="7"/>
  <c r="I148" i="7"/>
  <c r="K148" i="7" s="1"/>
  <c r="H148" i="7"/>
  <c r="E148" i="7"/>
  <c r="B148" i="7"/>
  <c r="I147" i="7"/>
  <c r="K147" i="7" s="1"/>
  <c r="H147" i="7"/>
  <c r="E147" i="7"/>
  <c r="B147" i="7"/>
  <c r="I146" i="7"/>
  <c r="K146" i="7" s="1"/>
  <c r="H146" i="7"/>
  <c r="E146" i="7"/>
  <c r="B146" i="7"/>
  <c r="I145" i="7"/>
  <c r="K145" i="7" s="1"/>
  <c r="H145" i="7"/>
  <c r="D42" i="1" s="1"/>
  <c r="E145" i="7"/>
  <c r="B145" i="7"/>
  <c r="I144" i="7"/>
  <c r="K144" i="7" s="1"/>
  <c r="H144" i="7"/>
  <c r="E144" i="7"/>
  <c r="B144" i="7"/>
  <c r="I143" i="7"/>
  <c r="K143" i="7" s="1"/>
  <c r="H143" i="7"/>
  <c r="E143" i="7"/>
  <c r="B143" i="7"/>
  <c r="I142" i="7"/>
  <c r="K142" i="7" s="1"/>
  <c r="H142" i="7"/>
  <c r="E142" i="7"/>
  <c r="B142" i="7"/>
  <c r="I141" i="7"/>
  <c r="K141" i="7" s="1"/>
  <c r="H141" i="7"/>
  <c r="E141" i="7"/>
  <c r="B141" i="7"/>
  <c r="I140" i="7"/>
  <c r="K140" i="7" s="1"/>
  <c r="H140" i="7"/>
  <c r="E140" i="7"/>
  <c r="B140" i="7"/>
  <c r="I139" i="7"/>
  <c r="K139" i="7" s="1"/>
  <c r="H139" i="7"/>
  <c r="E139" i="7"/>
  <c r="B139" i="7"/>
  <c r="I138" i="7"/>
  <c r="K138" i="7" s="1"/>
  <c r="H138" i="7"/>
  <c r="E138" i="7"/>
  <c r="B138" i="7"/>
  <c r="I137" i="7"/>
  <c r="K137" i="7" s="1"/>
  <c r="H137" i="7"/>
  <c r="E137" i="7"/>
  <c r="B137" i="7"/>
  <c r="I136" i="7"/>
  <c r="K136" i="7" s="1"/>
  <c r="H136" i="7"/>
  <c r="E136" i="7"/>
  <c r="B136" i="7"/>
  <c r="I135" i="7"/>
  <c r="K135" i="7" s="1"/>
  <c r="H135" i="7"/>
  <c r="E135" i="7"/>
  <c r="B135" i="7"/>
  <c r="I134" i="7"/>
  <c r="K134" i="7" s="1"/>
  <c r="H134" i="7"/>
  <c r="E134" i="7"/>
  <c r="B134" i="7"/>
  <c r="I133" i="7"/>
  <c r="K133" i="7" s="1"/>
  <c r="H133" i="7"/>
  <c r="E133" i="7"/>
  <c r="B133" i="7"/>
  <c r="I132" i="7"/>
  <c r="K132" i="7" s="1"/>
  <c r="H132" i="7"/>
  <c r="E132" i="7"/>
  <c r="B132" i="7"/>
  <c r="I131" i="7"/>
  <c r="K131" i="7" s="1"/>
  <c r="H131" i="7"/>
  <c r="E131" i="7"/>
  <c r="B131" i="7"/>
  <c r="I130" i="7"/>
  <c r="K130" i="7" s="1"/>
  <c r="H130" i="7"/>
  <c r="E130" i="7"/>
  <c r="B130" i="7"/>
  <c r="I129" i="7"/>
  <c r="K129" i="7" s="1"/>
  <c r="H129" i="7"/>
  <c r="E129" i="7"/>
  <c r="B129" i="7"/>
  <c r="I128" i="7"/>
  <c r="K128" i="7" s="1"/>
  <c r="H128" i="7"/>
  <c r="E128" i="7"/>
  <c r="B128" i="7"/>
  <c r="I127" i="7"/>
  <c r="K127" i="7" s="1"/>
  <c r="H127" i="7"/>
  <c r="E127" i="7"/>
  <c r="B127" i="7"/>
  <c r="I126" i="7"/>
  <c r="K126" i="7" s="1"/>
  <c r="H126" i="7"/>
  <c r="E126" i="7"/>
  <c r="B126" i="7"/>
  <c r="I125" i="7"/>
  <c r="K125" i="7" s="1"/>
  <c r="H125" i="7"/>
  <c r="E125" i="7"/>
  <c r="B125" i="7"/>
  <c r="I124" i="7"/>
  <c r="K124" i="7" s="1"/>
  <c r="H124" i="7"/>
  <c r="E124" i="7"/>
  <c r="B124" i="7"/>
  <c r="I123" i="7"/>
  <c r="K123" i="7" s="1"/>
  <c r="H123" i="7"/>
  <c r="E123" i="7"/>
  <c r="B123" i="7"/>
  <c r="I122" i="7"/>
  <c r="K122" i="7" s="1"/>
  <c r="H122" i="7"/>
  <c r="E122" i="7"/>
  <c r="B122" i="7"/>
  <c r="I121" i="7"/>
  <c r="K121" i="7" s="1"/>
  <c r="H121" i="7"/>
  <c r="E121" i="7"/>
  <c r="B121" i="7"/>
  <c r="I120" i="7"/>
  <c r="K120" i="7" s="1"/>
  <c r="H120" i="7"/>
  <c r="E120" i="7"/>
  <c r="B120" i="7"/>
  <c r="I119" i="7"/>
  <c r="K119" i="7" s="1"/>
  <c r="H119" i="7"/>
  <c r="E119" i="7"/>
  <c r="B119" i="7"/>
  <c r="I118" i="7"/>
  <c r="K118" i="7" s="1"/>
  <c r="H118" i="7"/>
  <c r="E118" i="7"/>
  <c r="B118" i="7"/>
  <c r="I117" i="7"/>
  <c r="K117" i="7" s="1"/>
  <c r="H117" i="7"/>
  <c r="E117" i="7"/>
  <c r="B117" i="7"/>
  <c r="I116" i="7"/>
  <c r="K116" i="7" s="1"/>
  <c r="H116" i="7"/>
  <c r="E116" i="7"/>
  <c r="B116" i="7"/>
  <c r="I115" i="7"/>
  <c r="K115" i="7" s="1"/>
  <c r="H115" i="7"/>
  <c r="E115" i="7"/>
  <c r="B115" i="7"/>
  <c r="I114" i="7"/>
  <c r="K114" i="7" s="1"/>
  <c r="H114" i="7"/>
  <c r="E114" i="7"/>
  <c r="B114" i="7"/>
  <c r="I113" i="7"/>
  <c r="K113" i="7" s="1"/>
  <c r="H113" i="7"/>
  <c r="E113" i="7"/>
  <c r="B113" i="7"/>
  <c r="I112" i="7"/>
  <c r="K112" i="7" s="1"/>
  <c r="H112" i="7"/>
  <c r="E112" i="7"/>
  <c r="B112" i="7"/>
  <c r="I111" i="7"/>
  <c r="K111" i="7" s="1"/>
  <c r="H111" i="7"/>
  <c r="E111" i="7"/>
  <c r="B111" i="7"/>
  <c r="I110" i="7"/>
  <c r="K110" i="7" s="1"/>
  <c r="H110" i="7"/>
  <c r="E110" i="7"/>
  <c r="B110" i="7"/>
  <c r="I109" i="7"/>
  <c r="K109" i="7" s="1"/>
  <c r="H109" i="7"/>
  <c r="E109" i="7"/>
  <c r="B109" i="7"/>
  <c r="I108" i="7"/>
  <c r="K108" i="7" s="1"/>
  <c r="H108" i="7"/>
  <c r="E108" i="7"/>
  <c r="B108" i="7"/>
  <c r="I107" i="7"/>
  <c r="K107" i="7" s="1"/>
  <c r="H107" i="7"/>
  <c r="E107" i="7"/>
  <c r="B107" i="7"/>
  <c r="I106" i="7"/>
  <c r="K106" i="7" s="1"/>
  <c r="H106" i="7"/>
  <c r="E106" i="7"/>
  <c r="B106" i="7"/>
  <c r="I105" i="7"/>
  <c r="K105" i="7" s="1"/>
  <c r="H105" i="7"/>
  <c r="E105" i="7"/>
  <c r="B105" i="7"/>
  <c r="I104" i="7"/>
  <c r="K104" i="7" s="1"/>
  <c r="H104" i="7"/>
  <c r="E104" i="7"/>
  <c r="B104" i="7"/>
  <c r="I103" i="7"/>
  <c r="K103" i="7" s="1"/>
  <c r="H103" i="7"/>
  <c r="E103" i="7"/>
  <c r="B103" i="7"/>
  <c r="I102" i="7"/>
  <c r="K102" i="7" s="1"/>
  <c r="H102" i="7"/>
  <c r="E102" i="7"/>
  <c r="B102" i="7"/>
  <c r="I101" i="7"/>
  <c r="K101" i="7" s="1"/>
  <c r="H101" i="7"/>
  <c r="E101" i="7"/>
  <c r="B101" i="7"/>
  <c r="I100" i="7"/>
  <c r="K100" i="7" s="1"/>
  <c r="H100" i="7"/>
  <c r="E100" i="7"/>
  <c r="B100" i="7"/>
  <c r="I99" i="7"/>
  <c r="K99" i="7" s="1"/>
  <c r="H99" i="7"/>
  <c r="E99" i="7"/>
  <c r="B99" i="7"/>
  <c r="I98" i="7"/>
  <c r="K98" i="7" s="1"/>
  <c r="H98" i="7"/>
  <c r="E98" i="7"/>
  <c r="B98" i="7"/>
  <c r="I97" i="7"/>
  <c r="K97" i="7" s="1"/>
  <c r="H97" i="7"/>
  <c r="E97" i="7"/>
  <c r="B97" i="7"/>
  <c r="I96" i="7"/>
  <c r="K96" i="7" s="1"/>
  <c r="H96" i="7"/>
  <c r="E96" i="7"/>
  <c r="B96" i="7"/>
  <c r="I95" i="7"/>
  <c r="K95" i="7" s="1"/>
  <c r="H95" i="7"/>
  <c r="E95" i="7"/>
  <c r="B95" i="7"/>
  <c r="I94" i="7"/>
  <c r="K94" i="7" s="1"/>
  <c r="H94" i="7"/>
  <c r="E94" i="7"/>
  <c r="B94" i="7"/>
  <c r="I93" i="7"/>
  <c r="K93" i="7" s="1"/>
  <c r="H93" i="7"/>
  <c r="E93" i="7"/>
  <c r="B93" i="7"/>
  <c r="I92" i="7"/>
  <c r="K92" i="7" s="1"/>
  <c r="H92" i="7"/>
  <c r="E92" i="7"/>
  <c r="B92" i="7"/>
  <c r="I91" i="7"/>
  <c r="K91" i="7" s="1"/>
  <c r="H91" i="7"/>
  <c r="E91" i="7"/>
  <c r="B91" i="7"/>
  <c r="I90" i="7"/>
  <c r="K90" i="7" s="1"/>
  <c r="H90" i="7"/>
  <c r="E90" i="7"/>
  <c r="B90" i="7"/>
  <c r="I89" i="7"/>
  <c r="K89" i="7" s="1"/>
  <c r="H89" i="7"/>
  <c r="E89" i="7"/>
  <c r="B89" i="7"/>
  <c r="I88" i="7"/>
  <c r="K88" i="7" s="1"/>
  <c r="H88" i="7"/>
  <c r="E88" i="7"/>
  <c r="B88" i="7"/>
  <c r="I87" i="7"/>
  <c r="K87" i="7" s="1"/>
  <c r="H87" i="7"/>
  <c r="E87" i="7"/>
  <c r="B87" i="7"/>
  <c r="I86" i="7"/>
  <c r="K86" i="7" s="1"/>
  <c r="H86" i="7"/>
  <c r="E86" i="7"/>
  <c r="B86" i="7"/>
  <c r="I85" i="7"/>
  <c r="K85" i="7" s="1"/>
  <c r="H85" i="7"/>
  <c r="E85" i="7"/>
  <c r="B85" i="7"/>
  <c r="I84" i="7"/>
  <c r="K84" i="7" s="1"/>
  <c r="H84" i="7"/>
  <c r="E84" i="7"/>
  <c r="B84" i="7"/>
  <c r="I83" i="7"/>
  <c r="K83" i="7" s="1"/>
  <c r="H83" i="7"/>
  <c r="E83" i="7"/>
  <c r="B83" i="7"/>
  <c r="I82" i="7"/>
  <c r="K82" i="7" s="1"/>
  <c r="H82" i="7"/>
  <c r="E82" i="7"/>
  <c r="B82" i="7"/>
  <c r="I81" i="7"/>
  <c r="K81" i="7" s="1"/>
  <c r="H81" i="7"/>
  <c r="E81" i="7"/>
  <c r="B81" i="7"/>
  <c r="I80" i="7"/>
  <c r="K80" i="7" s="1"/>
  <c r="H80" i="7"/>
  <c r="E80" i="7"/>
  <c r="B80" i="7"/>
  <c r="I79" i="7"/>
  <c r="K79" i="7" s="1"/>
  <c r="H79" i="7"/>
  <c r="E79" i="7"/>
  <c r="B79" i="7"/>
  <c r="I78" i="7"/>
  <c r="K78" i="7" s="1"/>
  <c r="H78" i="7"/>
  <c r="E78" i="7"/>
  <c r="B78" i="7"/>
  <c r="I77" i="7"/>
  <c r="K77" i="7" s="1"/>
  <c r="H77" i="7"/>
  <c r="E77" i="7"/>
  <c r="B77" i="7"/>
  <c r="I76" i="7"/>
  <c r="K76" i="7" s="1"/>
  <c r="H76" i="7"/>
  <c r="E76" i="7"/>
  <c r="B76" i="7"/>
  <c r="I75" i="7"/>
  <c r="K75" i="7" s="1"/>
  <c r="H75" i="7"/>
  <c r="E75" i="7"/>
  <c r="B75" i="7"/>
  <c r="I74" i="7"/>
  <c r="K74" i="7" s="1"/>
  <c r="H74" i="7"/>
  <c r="E74" i="7"/>
  <c r="B74" i="7"/>
  <c r="I73" i="7"/>
  <c r="K73" i="7" s="1"/>
  <c r="H73" i="7"/>
  <c r="E73" i="7"/>
  <c r="B73" i="7"/>
  <c r="I72" i="7"/>
  <c r="K72" i="7" s="1"/>
  <c r="H72" i="7"/>
  <c r="E72" i="7"/>
  <c r="B72" i="7"/>
  <c r="I71" i="7"/>
  <c r="K71" i="7" s="1"/>
  <c r="H71" i="7"/>
  <c r="E71" i="7"/>
  <c r="B71" i="7"/>
  <c r="I70" i="7"/>
  <c r="K70" i="7" s="1"/>
  <c r="H70" i="7"/>
  <c r="E70" i="7"/>
  <c r="B70" i="7"/>
  <c r="I69" i="7"/>
  <c r="K69" i="7" s="1"/>
  <c r="H69" i="7"/>
  <c r="E69" i="7"/>
  <c r="B69" i="7"/>
  <c r="I68" i="7"/>
  <c r="K68" i="7" s="1"/>
  <c r="H68" i="7"/>
  <c r="E68" i="7"/>
  <c r="B68" i="7"/>
  <c r="I67" i="7"/>
  <c r="K67" i="7" s="1"/>
  <c r="H67" i="7"/>
  <c r="E67" i="7"/>
  <c r="B67" i="7"/>
  <c r="I66" i="7"/>
  <c r="K66" i="7" s="1"/>
  <c r="H66" i="7"/>
  <c r="E66" i="7"/>
  <c r="B66" i="7"/>
  <c r="I65" i="7"/>
  <c r="K65" i="7" s="1"/>
  <c r="H65" i="7"/>
  <c r="E65" i="7"/>
  <c r="B65" i="7"/>
  <c r="I64" i="7"/>
  <c r="K64" i="7" s="1"/>
  <c r="H64" i="7"/>
  <c r="E64" i="7"/>
  <c r="B64" i="7"/>
  <c r="I63" i="7"/>
  <c r="K63" i="7" s="1"/>
  <c r="H63" i="7"/>
  <c r="E63" i="7"/>
  <c r="B63" i="7"/>
  <c r="I62" i="7"/>
  <c r="K62" i="7" s="1"/>
  <c r="H62" i="7"/>
  <c r="E62" i="7"/>
  <c r="B62" i="7"/>
  <c r="I61" i="7"/>
  <c r="K61" i="7" s="1"/>
  <c r="H61" i="7"/>
  <c r="E61" i="7"/>
  <c r="B61" i="7"/>
  <c r="I60" i="7"/>
  <c r="K60" i="7" s="1"/>
  <c r="H60" i="7"/>
  <c r="E60" i="7"/>
  <c r="B60" i="7"/>
  <c r="I59" i="7"/>
  <c r="K59" i="7" s="1"/>
  <c r="H59" i="7"/>
  <c r="E59" i="7"/>
  <c r="B59" i="7"/>
  <c r="I58" i="7"/>
  <c r="K58" i="7" s="1"/>
  <c r="H58" i="7"/>
  <c r="E58" i="7"/>
  <c r="B58" i="7"/>
  <c r="I57" i="7"/>
  <c r="K57" i="7" s="1"/>
  <c r="H57" i="7"/>
  <c r="E57" i="7"/>
  <c r="B57" i="7"/>
  <c r="I56" i="7"/>
  <c r="K56" i="7" s="1"/>
  <c r="H56" i="7"/>
  <c r="E56" i="7"/>
  <c r="B56" i="7"/>
  <c r="I55" i="7"/>
  <c r="K55" i="7" s="1"/>
  <c r="H55" i="7"/>
  <c r="E55" i="7"/>
  <c r="B55" i="7"/>
  <c r="I54" i="7"/>
  <c r="K54" i="7" s="1"/>
  <c r="H54" i="7"/>
  <c r="E54" i="7"/>
  <c r="B54" i="7"/>
  <c r="I53" i="7"/>
  <c r="K53" i="7" s="1"/>
  <c r="H53" i="7"/>
  <c r="E53" i="7"/>
  <c r="B53" i="7"/>
  <c r="I52" i="7"/>
  <c r="K52" i="7" s="1"/>
  <c r="H52" i="7"/>
  <c r="E52" i="7"/>
  <c r="B52" i="7"/>
  <c r="I51" i="7"/>
  <c r="K51" i="7" s="1"/>
  <c r="H51" i="7"/>
  <c r="E51" i="7"/>
  <c r="B51" i="7"/>
  <c r="I50" i="7"/>
  <c r="K50" i="7" s="1"/>
  <c r="H50" i="7"/>
  <c r="E50" i="7"/>
  <c r="B50" i="7"/>
  <c r="I49" i="7"/>
  <c r="K49" i="7" s="1"/>
  <c r="H49" i="7"/>
  <c r="E49" i="7"/>
  <c r="B49" i="7"/>
  <c r="I48" i="7"/>
  <c r="K48" i="7" s="1"/>
  <c r="H48" i="7"/>
  <c r="E48" i="7"/>
  <c r="B48" i="7"/>
  <c r="I47" i="7"/>
  <c r="K47" i="7" s="1"/>
  <c r="H47" i="7"/>
  <c r="E47" i="7"/>
  <c r="B47" i="7"/>
  <c r="I46" i="7"/>
  <c r="K46" i="7" s="1"/>
  <c r="H46" i="7"/>
  <c r="E46" i="7"/>
  <c r="B46" i="7"/>
  <c r="I45" i="7"/>
  <c r="K45" i="7" s="1"/>
  <c r="H45" i="7"/>
  <c r="E45" i="7"/>
  <c r="B45" i="7"/>
  <c r="I44" i="7"/>
  <c r="K44" i="7" s="1"/>
  <c r="H44" i="7"/>
  <c r="E44" i="7"/>
  <c r="B44" i="7"/>
  <c r="I43" i="7"/>
  <c r="K43" i="7" s="1"/>
  <c r="H43" i="7"/>
  <c r="E43" i="7"/>
  <c r="B43" i="7"/>
  <c r="I42" i="7"/>
  <c r="K42" i="7" s="1"/>
  <c r="H42" i="7"/>
  <c r="E42" i="7"/>
  <c r="B42" i="7"/>
  <c r="I41" i="7"/>
  <c r="K41" i="7" s="1"/>
  <c r="H41" i="7"/>
  <c r="E41" i="7"/>
  <c r="B41" i="7"/>
  <c r="I40" i="7"/>
  <c r="K40" i="7" s="1"/>
  <c r="H40" i="7"/>
  <c r="E40" i="7"/>
  <c r="B40" i="7"/>
  <c r="I39" i="7"/>
  <c r="K39" i="7" s="1"/>
  <c r="H39" i="7"/>
  <c r="E39" i="7"/>
  <c r="B39" i="7"/>
  <c r="I38" i="7"/>
  <c r="K38" i="7" s="1"/>
  <c r="H38" i="7"/>
  <c r="E38" i="7"/>
  <c r="B38" i="7"/>
  <c r="I37" i="7"/>
  <c r="K37" i="7" s="1"/>
  <c r="H37" i="7"/>
  <c r="E37" i="7"/>
  <c r="B37" i="7"/>
  <c r="I36" i="7"/>
  <c r="K36" i="7" s="1"/>
  <c r="H36" i="7"/>
  <c r="E36" i="7"/>
  <c r="B36" i="7"/>
  <c r="I35" i="7"/>
  <c r="K35" i="7" s="1"/>
  <c r="H35" i="7"/>
  <c r="E35" i="7"/>
  <c r="B35" i="7"/>
  <c r="I34" i="7"/>
  <c r="K34" i="7" s="1"/>
  <c r="H34" i="7"/>
  <c r="E34" i="7"/>
  <c r="B34" i="7"/>
  <c r="I33" i="7"/>
  <c r="K33" i="7" s="1"/>
  <c r="H33" i="7"/>
  <c r="E33" i="7"/>
  <c r="B33" i="7"/>
  <c r="I32" i="7"/>
  <c r="K32" i="7" s="1"/>
  <c r="H32" i="7"/>
  <c r="E32" i="7"/>
  <c r="B32" i="7"/>
  <c r="I31" i="7"/>
  <c r="K31" i="7" s="1"/>
  <c r="H31" i="7"/>
  <c r="E31" i="7"/>
  <c r="B31" i="7"/>
  <c r="I30" i="7"/>
  <c r="K30" i="7" s="1"/>
  <c r="H30" i="7"/>
  <c r="E30" i="7"/>
  <c r="B30" i="7"/>
  <c r="I29" i="7"/>
  <c r="K29" i="7" s="1"/>
  <c r="H29" i="7"/>
  <c r="E29" i="7"/>
  <c r="B29" i="7"/>
  <c r="I28" i="7"/>
  <c r="K28" i="7" s="1"/>
  <c r="H28" i="7"/>
  <c r="E28" i="7"/>
  <c r="B28" i="7"/>
  <c r="I27" i="7"/>
  <c r="K27" i="7" s="1"/>
  <c r="H27" i="7"/>
  <c r="E27" i="7"/>
  <c r="B27" i="7"/>
  <c r="I26" i="7"/>
  <c r="K26" i="7" s="1"/>
  <c r="H26" i="7"/>
  <c r="E26" i="7"/>
  <c r="B26" i="7"/>
  <c r="I25" i="7"/>
  <c r="K25" i="7" s="1"/>
  <c r="H25" i="7"/>
  <c r="E25" i="7"/>
  <c r="B25" i="7"/>
  <c r="I24" i="7"/>
  <c r="K24" i="7" s="1"/>
  <c r="H24" i="7"/>
  <c r="E24" i="7"/>
  <c r="B24" i="7"/>
  <c r="I23" i="7"/>
  <c r="K23" i="7" s="1"/>
  <c r="H23" i="7"/>
  <c r="E23" i="7"/>
  <c r="B23" i="7"/>
  <c r="I22" i="7"/>
  <c r="K22" i="7" s="1"/>
  <c r="H22" i="7"/>
  <c r="E22" i="7"/>
  <c r="B22" i="7"/>
  <c r="I21" i="7"/>
  <c r="K21" i="7" s="1"/>
  <c r="H21" i="7"/>
  <c r="E21" i="7"/>
  <c r="B21" i="7"/>
  <c r="I20" i="7"/>
  <c r="K20" i="7" s="1"/>
  <c r="H20" i="7"/>
  <c r="E20" i="7"/>
  <c r="B20" i="7"/>
  <c r="I19" i="7"/>
  <c r="K19" i="7" s="1"/>
  <c r="H19" i="7"/>
  <c r="E19" i="7"/>
  <c r="B19" i="7"/>
  <c r="I18" i="7"/>
  <c r="K18" i="7" s="1"/>
  <c r="H18" i="7"/>
  <c r="E18" i="7"/>
  <c r="B18" i="7"/>
  <c r="I17" i="7"/>
  <c r="K17" i="7" s="1"/>
  <c r="H17" i="7"/>
  <c r="E17" i="7"/>
  <c r="B17" i="7"/>
  <c r="I16" i="7"/>
  <c r="K16" i="7" s="1"/>
  <c r="H16" i="7"/>
  <c r="E16" i="7"/>
  <c r="B16" i="7"/>
  <c r="I15" i="7"/>
  <c r="K15" i="7" s="1"/>
  <c r="H15" i="7"/>
  <c r="E15" i="7"/>
  <c r="B15" i="7"/>
  <c r="I14" i="7"/>
  <c r="K14" i="7" s="1"/>
  <c r="H14" i="7"/>
  <c r="E14" i="7"/>
  <c r="B14" i="7"/>
  <c r="I13" i="7"/>
  <c r="K13" i="7" s="1"/>
  <c r="H13" i="7"/>
  <c r="E13" i="7"/>
  <c r="B13" i="7"/>
  <c r="I12" i="7"/>
  <c r="K12" i="7" s="1"/>
  <c r="H12" i="7"/>
  <c r="E12" i="7"/>
  <c r="B12" i="7"/>
  <c r="I11" i="7"/>
  <c r="K11" i="7" s="1"/>
  <c r="H11" i="7"/>
  <c r="E11" i="7"/>
  <c r="B11" i="7"/>
  <c r="I10" i="7"/>
  <c r="K10" i="7" s="1"/>
  <c r="H10" i="7"/>
  <c r="E10" i="7"/>
  <c r="B10" i="7"/>
  <c r="I9" i="7"/>
  <c r="K9" i="7" s="1"/>
  <c r="H9" i="7"/>
  <c r="E9" i="7"/>
  <c r="B9" i="7"/>
  <c r="I8" i="7"/>
  <c r="K8" i="7" s="1"/>
  <c r="H8" i="7"/>
  <c r="E8" i="7"/>
  <c r="B8" i="7"/>
  <c r="I7" i="7"/>
  <c r="K7" i="7" s="1"/>
  <c r="H7" i="7"/>
  <c r="E7" i="7"/>
  <c r="B7" i="7"/>
  <c r="I6" i="7"/>
  <c r="K6" i="7" s="1"/>
  <c r="H6" i="7"/>
  <c r="E6" i="7"/>
  <c r="B6" i="7"/>
  <c r="I5" i="7"/>
  <c r="K5" i="7" s="1"/>
  <c r="H5" i="7"/>
  <c r="E5" i="7"/>
  <c r="B5" i="7"/>
  <c r="G42" i="6"/>
  <c r="F42" i="6"/>
  <c r="D42" i="6"/>
  <c r="E42" i="6" s="1"/>
  <c r="G41" i="6"/>
  <c r="F41" i="6"/>
  <c r="D41" i="6"/>
  <c r="E41" i="6" s="1"/>
  <c r="G40" i="6"/>
  <c r="F40" i="6"/>
  <c r="D40" i="6"/>
  <c r="E40" i="6" s="1"/>
  <c r="G39" i="6"/>
  <c r="F39" i="6"/>
  <c r="D39" i="6"/>
  <c r="E39" i="6" s="1"/>
  <c r="G38" i="6"/>
  <c r="F38" i="6"/>
  <c r="D38" i="6"/>
  <c r="E38" i="6" s="1"/>
  <c r="G37" i="6"/>
  <c r="F37" i="6"/>
  <c r="D37" i="6"/>
  <c r="E37" i="6" s="1"/>
  <c r="G36" i="6"/>
  <c r="F36" i="6"/>
  <c r="D36" i="6"/>
  <c r="E36" i="6" s="1"/>
  <c r="G35" i="6"/>
  <c r="F35" i="6"/>
  <c r="D35" i="6"/>
  <c r="E35" i="6" s="1"/>
  <c r="G34" i="6"/>
  <c r="F34" i="6"/>
  <c r="D34" i="6"/>
  <c r="E34" i="6" s="1"/>
  <c r="G33" i="6"/>
  <c r="F33" i="6"/>
  <c r="D33" i="6"/>
  <c r="E33" i="6" s="1"/>
  <c r="G32" i="6"/>
  <c r="F32" i="6"/>
  <c r="D32" i="6"/>
  <c r="E32" i="6" s="1"/>
  <c r="G31" i="6"/>
  <c r="F31" i="6"/>
  <c r="D31" i="6"/>
  <c r="E31" i="6" s="1"/>
  <c r="G30" i="6"/>
  <c r="F30" i="6"/>
  <c r="D30" i="6"/>
  <c r="E30" i="6" s="1"/>
  <c r="G29" i="6"/>
  <c r="F29" i="6"/>
  <c r="D29" i="6"/>
  <c r="E29" i="6" s="1"/>
  <c r="G28" i="6"/>
  <c r="F28" i="6"/>
  <c r="D28" i="6"/>
  <c r="E28" i="6" s="1"/>
  <c r="G27" i="6"/>
  <c r="F27" i="6"/>
  <c r="D27" i="6"/>
  <c r="E27" i="6" s="1"/>
  <c r="G26" i="6"/>
  <c r="F26" i="6"/>
  <c r="D26" i="6"/>
  <c r="E26" i="6" s="1"/>
  <c r="G25" i="6"/>
  <c r="F25" i="6"/>
  <c r="D25" i="6"/>
  <c r="E25" i="6" s="1"/>
  <c r="I17" i="5" s="1"/>
  <c r="G24" i="6"/>
  <c r="F24" i="6"/>
  <c r="D24" i="6"/>
  <c r="E24" i="6" s="1"/>
  <c r="G23" i="6"/>
  <c r="F23" i="6"/>
  <c r="D23" i="6"/>
  <c r="E23" i="6" s="1"/>
  <c r="G22" i="6"/>
  <c r="F22" i="6"/>
  <c r="D22" i="6"/>
  <c r="E22" i="6" s="1"/>
  <c r="G21" i="6"/>
  <c r="F21" i="6"/>
  <c r="D21" i="6"/>
  <c r="E21" i="6" s="1"/>
  <c r="I16" i="5" s="1"/>
  <c r="G20" i="6"/>
  <c r="F20" i="6"/>
  <c r="D20" i="6"/>
  <c r="E20" i="6" s="1"/>
  <c r="G19" i="6"/>
  <c r="F19" i="6"/>
  <c r="D19" i="6"/>
  <c r="E19" i="6" s="1"/>
  <c r="G18" i="6"/>
  <c r="F18" i="6"/>
  <c r="D18" i="6"/>
  <c r="E18" i="6" s="1"/>
  <c r="I13" i="5" s="1"/>
  <c r="G17" i="6"/>
  <c r="F17" i="6"/>
  <c r="D17" i="6"/>
  <c r="E17" i="6" s="1"/>
  <c r="I14" i="5" s="1"/>
  <c r="G16" i="6"/>
  <c r="F16" i="6"/>
  <c r="D16" i="6"/>
  <c r="E16" i="6" s="1"/>
  <c r="G15" i="6"/>
  <c r="F15" i="6"/>
  <c r="D15" i="6"/>
  <c r="E15" i="6" s="1"/>
  <c r="I11" i="5" s="1"/>
  <c r="G14" i="6"/>
  <c r="F14" i="6"/>
  <c r="D14" i="6"/>
  <c r="E14" i="6" s="1"/>
  <c r="G13" i="6"/>
  <c r="F13" i="6"/>
  <c r="D13" i="6"/>
  <c r="E13" i="6" s="1"/>
  <c r="G12" i="6"/>
  <c r="F12" i="6"/>
  <c r="D12" i="6"/>
  <c r="E12" i="6" s="1"/>
  <c r="I10" i="5" s="1"/>
  <c r="G11" i="6"/>
  <c r="F11" i="6"/>
  <c r="F6" i="4" s="1"/>
  <c r="D11" i="6"/>
  <c r="E11" i="6" s="1"/>
  <c r="G10" i="6"/>
  <c r="F10" i="6"/>
  <c r="D10" i="6"/>
  <c r="E10" i="6" s="1"/>
  <c r="I9" i="5" s="1"/>
  <c r="G9" i="6"/>
  <c r="F9" i="6"/>
  <c r="F9" i="4" s="1"/>
  <c r="D9" i="6"/>
  <c r="E9" i="6" s="1"/>
  <c r="I8" i="5" s="1"/>
  <c r="G8" i="6"/>
  <c r="F8" i="6"/>
  <c r="D8" i="6"/>
  <c r="E8" i="6" s="1"/>
  <c r="G7" i="6"/>
  <c r="F7" i="6"/>
  <c r="F8" i="4" s="1"/>
  <c r="I8" i="4" s="1"/>
  <c r="D7" i="6"/>
  <c r="E7" i="6" s="1"/>
  <c r="I7" i="5" s="1"/>
  <c r="G6" i="6"/>
  <c r="F6" i="6"/>
  <c r="D6" i="6"/>
  <c r="E6" i="6" s="1"/>
  <c r="I6" i="5" s="1"/>
  <c r="G5" i="6"/>
  <c r="F5" i="6"/>
  <c r="D5" i="6"/>
  <c r="E5" i="6" s="1"/>
  <c r="I5" i="5" s="1"/>
  <c r="I64" i="5"/>
  <c r="H64" i="5"/>
  <c r="I63" i="5"/>
  <c r="H63" i="5"/>
  <c r="I62" i="5"/>
  <c r="H62" i="5"/>
  <c r="I61" i="5"/>
  <c r="H61" i="5"/>
  <c r="I60" i="5"/>
  <c r="H60" i="5"/>
  <c r="I59" i="5"/>
  <c r="H59" i="5"/>
  <c r="I58" i="5"/>
  <c r="H58" i="5"/>
  <c r="I57" i="5"/>
  <c r="H57" i="5"/>
  <c r="I56" i="5"/>
  <c r="H56" i="5"/>
  <c r="I55" i="5"/>
  <c r="H55" i="5"/>
  <c r="I54" i="5"/>
  <c r="H54" i="5"/>
  <c r="I53" i="5"/>
  <c r="H53" i="5"/>
  <c r="I52" i="5"/>
  <c r="H52" i="5"/>
  <c r="I51" i="5"/>
  <c r="H51" i="5"/>
  <c r="I50" i="5"/>
  <c r="H50" i="5"/>
  <c r="I49" i="5"/>
  <c r="H49" i="5"/>
  <c r="I48" i="5"/>
  <c r="H48" i="5"/>
  <c r="I47" i="5"/>
  <c r="H47" i="5"/>
  <c r="I46" i="5"/>
  <c r="H46" i="5"/>
  <c r="I45" i="5"/>
  <c r="H45" i="5"/>
  <c r="I44" i="5"/>
  <c r="H44" i="5"/>
  <c r="I43" i="5"/>
  <c r="H43" i="5"/>
  <c r="I42" i="5"/>
  <c r="H42" i="5"/>
  <c r="I41" i="5"/>
  <c r="H41" i="5"/>
  <c r="I40" i="5"/>
  <c r="H40" i="5"/>
  <c r="I39" i="5"/>
  <c r="H39" i="5"/>
  <c r="I38" i="5"/>
  <c r="H38" i="5"/>
  <c r="I37" i="5"/>
  <c r="H37" i="5"/>
  <c r="I36" i="5"/>
  <c r="H36" i="5"/>
  <c r="I35" i="5"/>
  <c r="H35" i="5"/>
  <c r="I34" i="5"/>
  <c r="H34" i="5"/>
  <c r="I33" i="5"/>
  <c r="H33" i="5"/>
  <c r="I32" i="5"/>
  <c r="H32" i="5"/>
  <c r="I31" i="5"/>
  <c r="H31" i="5"/>
  <c r="I30" i="5"/>
  <c r="H30" i="5"/>
  <c r="I29" i="5"/>
  <c r="H29" i="5"/>
  <c r="I28" i="5"/>
  <c r="H28" i="5"/>
  <c r="I27" i="5"/>
  <c r="H27" i="5"/>
  <c r="I26" i="5"/>
  <c r="H26" i="5"/>
  <c r="I25" i="5"/>
  <c r="H25" i="5"/>
  <c r="I24" i="5"/>
  <c r="H24" i="5"/>
  <c r="I23" i="5"/>
  <c r="H23" i="5"/>
  <c r="I22" i="5"/>
  <c r="H22" i="5"/>
  <c r="I21" i="5"/>
  <c r="H21" i="5"/>
  <c r="I20" i="5"/>
  <c r="H20" i="5"/>
  <c r="I19" i="5"/>
  <c r="H19" i="5"/>
  <c r="I18" i="5"/>
  <c r="H18" i="5"/>
  <c r="H17" i="5"/>
  <c r="H16" i="5"/>
  <c r="H15" i="5"/>
  <c r="H14" i="5"/>
  <c r="H13" i="5"/>
  <c r="H12" i="5"/>
  <c r="H11" i="5"/>
  <c r="H10" i="5"/>
  <c r="J10" i="5" s="1"/>
  <c r="H9" i="5"/>
  <c r="J9" i="5" s="1"/>
  <c r="H8" i="5"/>
  <c r="J8" i="5" s="1"/>
  <c r="H7" i="5"/>
  <c r="J7" i="5" s="1"/>
  <c r="H6" i="5"/>
  <c r="J6" i="5" s="1"/>
  <c r="H5" i="5"/>
  <c r="H44" i="4"/>
  <c r="F44" i="4"/>
  <c r="I44" i="4" s="1"/>
  <c r="H43" i="4"/>
  <c r="F43" i="4"/>
  <c r="I43" i="4" s="1"/>
  <c r="H42" i="4"/>
  <c r="F42" i="4"/>
  <c r="I42" i="4" s="1"/>
  <c r="H41" i="4"/>
  <c r="F41" i="4"/>
  <c r="I41" i="4" s="1"/>
  <c r="H40" i="4"/>
  <c r="F40" i="4"/>
  <c r="I40" i="4" s="1"/>
  <c r="H39" i="4"/>
  <c r="F39" i="4"/>
  <c r="I39" i="4" s="1"/>
  <c r="H38" i="4"/>
  <c r="F38" i="4"/>
  <c r="I38" i="4" s="1"/>
  <c r="H37" i="4"/>
  <c r="F37" i="4"/>
  <c r="I37" i="4" s="1"/>
  <c r="H36" i="4"/>
  <c r="F36" i="4"/>
  <c r="I36" i="4" s="1"/>
  <c r="H35" i="4"/>
  <c r="F35" i="4"/>
  <c r="I35" i="4" s="1"/>
  <c r="H34" i="4"/>
  <c r="F34" i="4"/>
  <c r="I34" i="4" s="1"/>
  <c r="H33" i="4"/>
  <c r="F33" i="4"/>
  <c r="I33" i="4" s="1"/>
  <c r="H32" i="4"/>
  <c r="F32" i="4"/>
  <c r="I32" i="4" s="1"/>
  <c r="H31" i="4"/>
  <c r="F31" i="4"/>
  <c r="I31" i="4" s="1"/>
  <c r="H30" i="4"/>
  <c r="F30" i="4"/>
  <c r="I30" i="4" s="1"/>
  <c r="H29" i="4"/>
  <c r="F29" i="4"/>
  <c r="I29" i="4" s="1"/>
  <c r="H28" i="4"/>
  <c r="F28" i="4"/>
  <c r="I28" i="4" s="1"/>
  <c r="H27" i="4"/>
  <c r="F27" i="4"/>
  <c r="I27" i="4" s="1"/>
  <c r="H26" i="4"/>
  <c r="F26" i="4"/>
  <c r="I26" i="4" s="1"/>
  <c r="H25" i="4"/>
  <c r="F25" i="4"/>
  <c r="H24" i="4"/>
  <c r="F24" i="4"/>
  <c r="I24" i="4" s="1"/>
  <c r="H23" i="4"/>
  <c r="F23" i="4"/>
  <c r="I23" i="4" s="1"/>
  <c r="H22" i="4"/>
  <c r="F22" i="4"/>
  <c r="I22" i="4" s="1"/>
  <c r="H21" i="4"/>
  <c r="F21" i="4"/>
  <c r="I21" i="4" s="1"/>
  <c r="H20" i="4"/>
  <c r="H19" i="4"/>
  <c r="H18" i="4"/>
  <c r="F18" i="4"/>
  <c r="I18" i="4" s="1"/>
  <c r="H17" i="4"/>
  <c r="F17" i="4"/>
  <c r="I17" i="4" s="1"/>
  <c r="H16" i="4"/>
  <c r="F16" i="4"/>
  <c r="I16" i="4" s="1"/>
  <c r="H15" i="4"/>
  <c r="F15" i="4"/>
  <c r="I15" i="4" s="1"/>
  <c r="H14" i="4"/>
  <c r="F14" i="4"/>
  <c r="I14" i="4" s="1"/>
  <c r="H13" i="4"/>
  <c r="F13" i="4"/>
  <c r="I13" i="4" s="1"/>
  <c r="H12" i="4"/>
  <c r="F12" i="4"/>
  <c r="I12" i="4" s="1"/>
  <c r="H11" i="4"/>
  <c r="F11" i="4"/>
  <c r="I11" i="4" s="1"/>
  <c r="H10" i="4"/>
  <c r="F10" i="4"/>
  <c r="I10" i="4" s="1"/>
  <c r="H9" i="4"/>
  <c r="H8" i="4"/>
  <c r="H7" i="4"/>
  <c r="H6" i="4"/>
  <c r="H5" i="4"/>
  <c r="F5" i="4"/>
  <c r="I5" i="4" s="1"/>
  <c r="G19" i="3"/>
  <c r="G18" i="3"/>
  <c r="G17" i="3"/>
  <c r="G16" i="3"/>
  <c r="G15" i="3"/>
  <c r="G14" i="3"/>
  <c r="G13" i="3"/>
  <c r="G12" i="3"/>
  <c r="G11" i="3"/>
  <c r="G10" i="3"/>
  <c r="G9" i="3"/>
  <c r="G8" i="3"/>
  <c r="G7" i="3"/>
  <c r="G6" i="3"/>
  <c r="G5" i="3"/>
  <c r="G20" i="3" s="1"/>
  <c r="H74" i="1"/>
  <c r="G74" i="1"/>
  <c r="I56" i="1"/>
  <c r="I55" i="1"/>
  <c r="I54" i="1"/>
  <c r="C45" i="1"/>
  <c r="C44" i="1"/>
  <c r="C43" i="1"/>
  <c r="C42" i="1"/>
  <c r="C41" i="1"/>
  <c r="C40" i="1"/>
  <c r="C39" i="1"/>
  <c r="C38" i="1"/>
  <c r="C37" i="1"/>
  <c r="C36" i="1"/>
  <c r="C35" i="1"/>
  <c r="C34" i="1"/>
  <c r="C46" i="1" s="1"/>
  <c r="C27" i="1"/>
  <c r="C24" i="1"/>
  <c r="L404" i="7" l="1"/>
  <c r="M404" i="7"/>
  <c r="L403" i="7"/>
  <c r="M403" i="7"/>
  <c r="L402" i="7"/>
  <c r="M402" i="7"/>
  <c r="L401" i="7"/>
  <c r="M401" i="7"/>
  <c r="L400" i="7"/>
  <c r="M400" i="7"/>
  <c r="L399" i="7"/>
  <c r="M399" i="7"/>
  <c r="L398" i="7"/>
  <c r="M398" i="7"/>
  <c r="L397" i="7"/>
  <c r="M397" i="7"/>
  <c r="L396" i="7"/>
  <c r="M396" i="7"/>
  <c r="L395" i="7"/>
  <c r="M395" i="7"/>
  <c r="L394" i="7"/>
  <c r="M394" i="7"/>
  <c r="L393" i="7"/>
  <c r="M393" i="7" s="1"/>
  <c r="L392" i="7"/>
  <c r="M392" i="7"/>
  <c r="L391" i="7"/>
  <c r="M391" i="7"/>
  <c r="L390" i="7"/>
  <c r="M390" i="7"/>
  <c r="L389" i="7"/>
  <c r="M389" i="7"/>
  <c r="L388" i="7"/>
  <c r="M388" i="7"/>
  <c r="L387" i="7"/>
  <c r="M387" i="7"/>
  <c r="L386" i="7"/>
  <c r="M386" i="7"/>
  <c r="L385" i="7"/>
  <c r="M385" i="7"/>
  <c r="L384" i="7"/>
  <c r="M384" i="7"/>
  <c r="L383" i="7"/>
  <c r="M383" i="7"/>
  <c r="L382" i="7"/>
  <c r="M382" i="7" s="1"/>
  <c r="D36" i="1"/>
  <c r="E68" i="1"/>
  <c r="F68" i="1" s="1"/>
  <c r="D41" i="1"/>
  <c r="I12" i="5"/>
  <c r="J12" i="5" s="1"/>
  <c r="J17" i="5"/>
  <c r="J16" i="5"/>
  <c r="J13" i="5"/>
  <c r="J11" i="5"/>
  <c r="F7" i="4"/>
  <c r="I6" i="4"/>
  <c r="I7" i="4"/>
  <c r="I25" i="4"/>
  <c r="I9" i="4"/>
  <c r="J14" i="5"/>
  <c r="I15" i="5"/>
  <c r="J15" i="5" s="1"/>
  <c r="F20" i="4"/>
  <c r="F19" i="4"/>
  <c r="D40" i="1"/>
  <c r="H55" i="1"/>
  <c r="D43" i="1"/>
  <c r="E73" i="1"/>
  <c r="F73" i="1" s="1"/>
  <c r="D35" i="1"/>
  <c r="H56" i="1"/>
  <c r="D34" i="1"/>
  <c r="E67" i="1"/>
  <c r="F67" i="1" s="1"/>
  <c r="E70" i="1"/>
  <c r="F70" i="1" s="1"/>
  <c r="D39" i="1"/>
  <c r="E69" i="1"/>
  <c r="F69" i="1" s="1"/>
  <c r="D38" i="1"/>
  <c r="E71" i="1"/>
  <c r="F71" i="1" s="1"/>
  <c r="D45" i="1"/>
  <c r="D56" i="1"/>
  <c r="D55" i="1"/>
  <c r="C55" i="1"/>
  <c r="D54" i="1"/>
  <c r="C54" i="1"/>
  <c r="C57" i="1"/>
  <c r="D57" i="1"/>
  <c r="C58" i="1"/>
  <c r="D58" i="1"/>
  <c r="C59" i="1"/>
  <c r="D59" i="1"/>
  <c r="C60" i="1"/>
  <c r="D60" i="1"/>
  <c r="H54" i="1"/>
  <c r="D44" i="1"/>
  <c r="E72" i="1"/>
  <c r="F72" i="1" s="1"/>
  <c r="C56" i="1"/>
  <c r="J64" i="5"/>
  <c r="I65" i="5"/>
  <c r="J59" i="5"/>
  <c r="J53" i="5"/>
  <c r="J47" i="5"/>
  <c r="J41" i="5"/>
  <c r="J35" i="5"/>
  <c r="J21" i="5"/>
  <c r="J62" i="5"/>
  <c r="J55" i="5"/>
  <c r="J46" i="5"/>
  <c r="J40" i="5"/>
  <c r="J39" i="5"/>
  <c r="J33" i="5"/>
  <c r="J29" i="5"/>
  <c r="J28" i="5"/>
  <c r="J52" i="5"/>
  <c r="J51" i="5"/>
  <c r="J50" i="5"/>
  <c r="J49" i="5"/>
  <c r="J34" i="5"/>
  <c r="J27" i="5"/>
  <c r="J20" i="5"/>
  <c r="J61" i="5"/>
  <c r="J60" i="5"/>
  <c r="J54" i="5"/>
  <c r="J48" i="5"/>
  <c r="J42" i="5"/>
  <c r="J36" i="5"/>
  <c r="J30" i="5"/>
  <c r="J23" i="5"/>
  <c r="J22" i="5"/>
  <c r="J24" i="5"/>
  <c r="J58" i="5"/>
  <c r="J57" i="5"/>
  <c r="J56" i="5"/>
  <c r="J43" i="5"/>
  <c r="J37" i="5"/>
  <c r="J31" i="5"/>
  <c r="J19" i="5"/>
  <c r="J63" i="5"/>
  <c r="J45" i="5"/>
  <c r="J44" i="5"/>
  <c r="J38" i="5"/>
  <c r="J32" i="5"/>
  <c r="J26" i="5"/>
  <c r="J25" i="5"/>
  <c r="J18" i="5"/>
  <c r="L381" i="7"/>
  <c r="M381" i="7" s="1"/>
  <c r="L380" i="7"/>
  <c r="M380" i="7" s="1"/>
  <c r="L379" i="7"/>
  <c r="M379" i="7" s="1"/>
  <c r="L378" i="7"/>
  <c r="M378" i="7" s="1"/>
  <c r="L377" i="7"/>
  <c r="M377" i="7" s="1"/>
  <c r="L376" i="7"/>
  <c r="M376" i="7" s="1"/>
  <c r="L375" i="7"/>
  <c r="M375" i="7" s="1"/>
  <c r="L374" i="7"/>
  <c r="M374" i="7" s="1"/>
  <c r="L373" i="7"/>
  <c r="M373" i="7" s="1"/>
  <c r="L372" i="7"/>
  <c r="M372" i="7" s="1"/>
  <c r="L371" i="7"/>
  <c r="M371" i="7" s="1"/>
  <c r="L370" i="7"/>
  <c r="M370" i="7" s="1"/>
  <c r="L369" i="7"/>
  <c r="M369" i="7" s="1"/>
  <c r="L368" i="7"/>
  <c r="M368" i="7" s="1"/>
  <c r="L367" i="7"/>
  <c r="M367" i="7" s="1"/>
  <c r="L366" i="7"/>
  <c r="M366" i="7" s="1"/>
  <c r="L365" i="7"/>
  <c r="M365" i="7" s="1"/>
  <c r="L364" i="7"/>
  <c r="M364" i="7" s="1"/>
  <c r="L363" i="7"/>
  <c r="M363" i="7" s="1"/>
  <c r="L362" i="7"/>
  <c r="M362" i="7" s="1"/>
  <c r="D9" i="1"/>
  <c r="C14" i="1"/>
  <c r="L361" i="7"/>
  <c r="M361" i="7" s="1"/>
  <c r="L360" i="7"/>
  <c r="M360" i="7" s="1"/>
  <c r="L359" i="7"/>
  <c r="M359" i="7" s="1"/>
  <c r="L358" i="7"/>
  <c r="M358" i="7" s="1"/>
  <c r="L357" i="7"/>
  <c r="M357" i="7" s="1"/>
  <c r="L356" i="7"/>
  <c r="M356" i="7" s="1"/>
  <c r="L355" i="7"/>
  <c r="M355" i="7" s="1"/>
  <c r="L354" i="7"/>
  <c r="M354" i="7" s="1"/>
  <c r="L353" i="7"/>
  <c r="M353" i="7" s="1"/>
  <c r="L352" i="7"/>
  <c r="M352" i="7" s="1"/>
  <c r="L351" i="7"/>
  <c r="M351" i="7" s="1"/>
  <c r="L350" i="7"/>
  <c r="M350" i="7" s="1"/>
  <c r="L349" i="7"/>
  <c r="M349" i="7" s="1"/>
  <c r="L348" i="7"/>
  <c r="M348" i="7" s="1"/>
  <c r="L347" i="7"/>
  <c r="M347" i="7" s="1"/>
  <c r="L346" i="7"/>
  <c r="M346" i="7" s="1"/>
  <c r="L345" i="7"/>
  <c r="M345" i="7" s="1"/>
  <c r="L344" i="7"/>
  <c r="M344" i="7" s="1"/>
  <c r="L343" i="7"/>
  <c r="M343" i="7" s="1"/>
  <c r="L342" i="7"/>
  <c r="M342" i="7" s="1"/>
  <c r="L341" i="7"/>
  <c r="M341" i="7" s="1"/>
  <c r="L340" i="7"/>
  <c r="M340" i="7" s="1"/>
  <c r="L339" i="7"/>
  <c r="M339" i="7" s="1"/>
  <c r="L338" i="7"/>
  <c r="M338" i="7" s="1"/>
  <c r="L337" i="7"/>
  <c r="M337" i="7" s="1"/>
  <c r="L336" i="7"/>
  <c r="M336" i="7" s="1"/>
  <c r="L335" i="7"/>
  <c r="M335" i="7" s="1"/>
  <c r="L334" i="7"/>
  <c r="M334" i="7" s="1"/>
  <c r="L333" i="7"/>
  <c r="M333" i="7" s="1"/>
  <c r="L332" i="7"/>
  <c r="M332" i="7" s="1"/>
  <c r="L331" i="7"/>
  <c r="M331" i="7" s="1"/>
  <c r="L330" i="7"/>
  <c r="M330" i="7" s="1"/>
  <c r="L329" i="7"/>
  <c r="M329" i="7" s="1"/>
  <c r="L328" i="7"/>
  <c r="M328" i="7" s="1"/>
  <c r="L327" i="7"/>
  <c r="M327" i="7" s="1"/>
  <c r="L326" i="7"/>
  <c r="M326" i="7" s="1"/>
  <c r="L325" i="7"/>
  <c r="M325" i="7" s="1"/>
  <c r="L324" i="7"/>
  <c r="M324" i="7" s="1"/>
  <c r="L323" i="7"/>
  <c r="M323" i="7" s="1"/>
  <c r="L322" i="7"/>
  <c r="M322" i="7" s="1"/>
  <c r="L321" i="7"/>
  <c r="M321" i="7" s="1"/>
  <c r="L320" i="7"/>
  <c r="M320" i="7" s="1"/>
  <c r="L319" i="7"/>
  <c r="M319" i="7" s="1"/>
  <c r="L318" i="7"/>
  <c r="M318" i="7" s="1"/>
  <c r="L317" i="7"/>
  <c r="M317" i="7" s="1"/>
  <c r="L316" i="7"/>
  <c r="M316" i="7" s="1"/>
  <c r="L315" i="7"/>
  <c r="M315" i="7" s="1"/>
  <c r="L314" i="7"/>
  <c r="M314" i="7" s="1"/>
  <c r="L313" i="7"/>
  <c r="M313" i="7" s="1"/>
  <c r="L312" i="7"/>
  <c r="M312" i="7" s="1"/>
  <c r="L311" i="7"/>
  <c r="M311" i="7" s="1"/>
  <c r="L310" i="7"/>
  <c r="M310" i="7" s="1"/>
  <c r="L309" i="7"/>
  <c r="M309" i="7" s="1"/>
  <c r="L308" i="7"/>
  <c r="M308" i="7" s="1"/>
  <c r="L307" i="7"/>
  <c r="M307" i="7" s="1"/>
  <c r="L306" i="7"/>
  <c r="M306" i="7" s="1"/>
  <c r="L305" i="7"/>
  <c r="M305" i="7" s="1"/>
  <c r="L304" i="7"/>
  <c r="M304" i="7" s="1"/>
  <c r="L303" i="7"/>
  <c r="M303" i="7" s="1"/>
  <c r="L302" i="7"/>
  <c r="M302" i="7" s="1"/>
  <c r="L301" i="7"/>
  <c r="M301" i="7" s="1"/>
  <c r="L300" i="7"/>
  <c r="M300" i="7" s="1"/>
  <c r="L299" i="7"/>
  <c r="M299" i="7" s="1"/>
  <c r="L298" i="7"/>
  <c r="M298" i="7" s="1"/>
  <c r="L297" i="7"/>
  <c r="M297" i="7" s="1"/>
  <c r="L296" i="7"/>
  <c r="M296" i="7" s="1"/>
  <c r="L295" i="7"/>
  <c r="M295" i="7" s="1"/>
  <c r="L294" i="7"/>
  <c r="M294" i="7" s="1"/>
  <c r="L293" i="7"/>
  <c r="M293" i="7" s="1"/>
  <c r="L292" i="7"/>
  <c r="M292" i="7" s="1"/>
  <c r="L291" i="7"/>
  <c r="M291" i="7" s="1"/>
  <c r="L290" i="7"/>
  <c r="M290" i="7" s="1"/>
  <c r="L289" i="7"/>
  <c r="M289" i="7" s="1"/>
  <c r="L288" i="7"/>
  <c r="M288" i="7" s="1"/>
  <c r="L287" i="7"/>
  <c r="M287" i="7" s="1"/>
  <c r="L286" i="7"/>
  <c r="M286" i="7" s="1"/>
  <c r="L285" i="7"/>
  <c r="M285" i="7" s="1"/>
  <c r="L284" i="7"/>
  <c r="M284" i="7" s="1"/>
  <c r="L283" i="7"/>
  <c r="M283" i="7" s="1"/>
  <c r="L282" i="7"/>
  <c r="M282" i="7" s="1"/>
  <c r="L281" i="7"/>
  <c r="M281" i="7" s="1"/>
  <c r="L280" i="7"/>
  <c r="M280" i="7" s="1"/>
  <c r="L279" i="7"/>
  <c r="M279" i="7" s="1"/>
  <c r="L278" i="7"/>
  <c r="M278" i="7" s="1"/>
  <c r="L277" i="7"/>
  <c r="M277" i="7" s="1"/>
  <c r="L276" i="7"/>
  <c r="M276" i="7" s="1"/>
  <c r="L275" i="7"/>
  <c r="M275" i="7" s="1"/>
  <c r="L274" i="7"/>
  <c r="M274" i="7" s="1"/>
  <c r="L273" i="7"/>
  <c r="M273" i="7" s="1"/>
  <c r="L272" i="7"/>
  <c r="M272" i="7" s="1"/>
  <c r="L271" i="7"/>
  <c r="M271" i="7" s="1"/>
  <c r="L270" i="7"/>
  <c r="M270" i="7" s="1"/>
  <c r="L269" i="7"/>
  <c r="M269" i="7" s="1"/>
  <c r="L268" i="7"/>
  <c r="M268" i="7" s="1"/>
  <c r="L267" i="7"/>
  <c r="M267" i="7" s="1"/>
  <c r="L266" i="7"/>
  <c r="M266" i="7" s="1"/>
  <c r="L265" i="7"/>
  <c r="M265" i="7" s="1"/>
  <c r="L264" i="7"/>
  <c r="M264" i="7" s="1"/>
  <c r="L263" i="7"/>
  <c r="M263" i="7" s="1"/>
  <c r="L262" i="7"/>
  <c r="M262" i="7" s="1"/>
  <c r="L261" i="7"/>
  <c r="M261" i="7" s="1"/>
  <c r="L260" i="7"/>
  <c r="M260" i="7" s="1"/>
  <c r="L259" i="7"/>
  <c r="M259" i="7" s="1"/>
  <c r="L258" i="7"/>
  <c r="M258" i="7" s="1"/>
  <c r="L257" i="7"/>
  <c r="M257" i="7" s="1"/>
  <c r="L256" i="7"/>
  <c r="M256" i="7" s="1"/>
  <c r="L255" i="7"/>
  <c r="M255" i="7" s="1"/>
  <c r="L254" i="7"/>
  <c r="M254" i="7" s="1"/>
  <c r="L253" i="7"/>
  <c r="M253" i="7" s="1"/>
  <c r="L252" i="7"/>
  <c r="M252" i="7" s="1"/>
  <c r="L251" i="7"/>
  <c r="M251" i="7" s="1"/>
  <c r="L250" i="7"/>
  <c r="M250" i="7" s="1"/>
  <c r="L249" i="7"/>
  <c r="M249" i="7" s="1"/>
  <c r="L248" i="7"/>
  <c r="M248" i="7" s="1"/>
  <c r="L247" i="7"/>
  <c r="M247" i="7" s="1"/>
  <c r="L246" i="7"/>
  <c r="M246" i="7" s="1"/>
  <c r="L245" i="7"/>
  <c r="M245" i="7" s="1"/>
  <c r="L244" i="7"/>
  <c r="M244" i="7" s="1"/>
  <c r="L243" i="7"/>
  <c r="M243" i="7" s="1"/>
  <c r="L242" i="7"/>
  <c r="M242" i="7" s="1"/>
  <c r="L241" i="7"/>
  <c r="M241" i="7" s="1"/>
  <c r="L240" i="7"/>
  <c r="M240" i="7"/>
  <c r="L239" i="7"/>
  <c r="M239" i="7"/>
  <c r="L238" i="7"/>
  <c r="M238" i="7" s="1"/>
  <c r="L237" i="7"/>
  <c r="M237" i="7"/>
  <c r="L236" i="7"/>
  <c r="M236" i="7" s="1"/>
  <c r="L235" i="7"/>
  <c r="M235" i="7" s="1"/>
  <c r="L234" i="7"/>
  <c r="M234" i="7"/>
  <c r="L233" i="7"/>
  <c r="M233" i="7"/>
  <c r="L232" i="7"/>
  <c r="M232" i="7" s="1"/>
  <c r="L231" i="7"/>
  <c r="M231" i="7"/>
  <c r="L230" i="7"/>
  <c r="M230" i="7" s="1"/>
  <c r="L229" i="7"/>
  <c r="M229" i="7" s="1"/>
  <c r="L228" i="7"/>
  <c r="M228" i="7" s="1"/>
  <c r="L227" i="7"/>
  <c r="M227" i="7"/>
  <c r="L226" i="7"/>
  <c r="M226" i="7" s="1"/>
  <c r="L225" i="7"/>
  <c r="M225" i="7" s="1"/>
  <c r="L224" i="7"/>
  <c r="M224" i="7"/>
  <c r="L223" i="7"/>
  <c r="M223" i="7" s="1"/>
  <c r="L222" i="7"/>
  <c r="M222" i="7" s="1"/>
  <c r="L221" i="7"/>
  <c r="M221" i="7" s="1"/>
  <c r="L220" i="7"/>
  <c r="M220" i="7" s="1"/>
  <c r="L219" i="7"/>
  <c r="M219" i="7" s="1"/>
  <c r="L218" i="7"/>
  <c r="M218" i="7" s="1"/>
  <c r="L217" i="7"/>
  <c r="M217" i="7" s="1"/>
  <c r="L216" i="7"/>
  <c r="M216" i="7" s="1"/>
  <c r="L215" i="7"/>
  <c r="M215" i="7" s="1"/>
  <c r="L214" i="7"/>
  <c r="M214" i="7" s="1"/>
  <c r="L213" i="7"/>
  <c r="M213" i="7" s="1"/>
  <c r="L212" i="7"/>
  <c r="M212" i="7" s="1"/>
  <c r="L211" i="7"/>
  <c r="M211" i="7" s="1"/>
  <c r="L210" i="7"/>
  <c r="M210" i="7" s="1"/>
  <c r="L209" i="7"/>
  <c r="M209" i="7" s="1"/>
  <c r="L208" i="7"/>
  <c r="M208" i="7" s="1"/>
  <c r="L207" i="7"/>
  <c r="M207" i="7" s="1"/>
  <c r="L206" i="7"/>
  <c r="M206" i="7" s="1"/>
  <c r="L205" i="7"/>
  <c r="M205" i="7" s="1"/>
  <c r="L204" i="7"/>
  <c r="M204" i="7" s="1"/>
  <c r="L203" i="7"/>
  <c r="M203" i="7" s="1"/>
  <c r="L202" i="7"/>
  <c r="M202" i="7" s="1"/>
  <c r="L201" i="7"/>
  <c r="M201" i="7" s="1"/>
  <c r="L200" i="7"/>
  <c r="M200" i="7" s="1"/>
  <c r="L199" i="7"/>
  <c r="M199" i="7" s="1"/>
  <c r="L198" i="7"/>
  <c r="M198" i="7" s="1"/>
  <c r="L197" i="7"/>
  <c r="M197" i="7" s="1"/>
  <c r="E37" i="1"/>
  <c r="L196" i="7"/>
  <c r="M196" i="7" s="1"/>
  <c r="E36" i="1"/>
  <c r="L195" i="7"/>
  <c r="M195" i="7" s="1"/>
  <c r="L194" i="7"/>
  <c r="M194" i="7" s="1"/>
  <c r="L193" i="7"/>
  <c r="M193" i="7" s="1"/>
  <c r="L192" i="7"/>
  <c r="M192" i="7" s="1"/>
  <c r="L191" i="7"/>
  <c r="M191" i="7" s="1"/>
  <c r="L190" i="7"/>
  <c r="M190" i="7" s="1"/>
  <c r="L189" i="7"/>
  <c r="M189" i="7" s="1"/>
  <c r="L188" i="7"/>
  <c r="M188" i="7" s="1"/>
  <c r="L187" i="7"/>
  <c r="M187" i="7" s="1"/>
  <c r="G68" i="1"/>
  <c r="L186" i="7"/>
  <c r="M186" i="7" s="1"/>
  <c r="L185" i="7"/>
  <c r="M185" i="7" s="1"/>
  <c r="E35" i="1"/>
  <c r="L184" i="7"/>
  <c r="M184" i="7" s="1"/>
  <c r="L183" i="7"/>
  <c r="M183" i="7" s="1"/>
  <c r="L182" i="7"/>
  <c r="M182" i="7" s="1"/>
  <c r="L181" i="7"/>
  <c r="M181" i="7" s="1"/>
  <c r="L180" i="7"/>
  <c r="M180" i="7" s="1"/>
  <c r="E40" i="1"/>
  <c r="L179" i="7"/>
  <c r="M179" i="7" s="1"/>
  <c r="E41" i="1"/>
  <c r="L178" i="7"/>
  <c r="M178" i="7" s="1"/>
  <c r="L177" i="7"/>
  <c r="M177" i="7" s="1"/>
  <c r="E34" i="1"/>
  <c r="L176" i="7"/>
  <c r="M176" i="7" s="1"/>
  <c r="L175" i="7"/>
  <c r="M175" i="7" s="1"/>
  <c r="L174" i="7"/>
  <c r="M174" i="7" s="1"/>
  <c r="L173" i="7"/>
  <c r="M173" i="7" s="1"/>
  <c r="L172" i="7"/>
  <c r="M172" i="7" s="1"/>
  <c r="L171" i="7"/>
  <c r="M171" i="7" s="1"/>
  <c r="E39" i="1"/>
  <c r="G70" i="1"/>
  <c r="L170" i="7"/>
  <c r="M170" i="7" s="1"/>
  <c r="E38" i="1"/>
  <c r="L169" i="7"/>
  <c r="M169" i="7" s="1"/>
  <c r="L168" i="7"/>
  <c r="M168" i="7" s="1"/>
  <c r="L167" i="7"/>
  <c r="M167" i="7" s="1"/>
  <c r="L166" i="7"/>
  <c r="M166" i="7" s="1"/>
  <c r="L165" i="7"/>
  <c r="M165" i="7" s="1"/>
  <c r="L164" i="7"/>
  <c r="M164" i="7" s="1"/>
  <c r="L163" i="7"/>
  <c r="M163" i="7" s="1"/>
  <c r="L162" i="7"/>
  <c r="M162" i="7" s="1"/>
  <c r="L161" i="7"/>
  <c r="M161" i="7" s="1"/>
  <c r="L160" i="7"/>
  <c r="M160" i="7" s="1"/>
  <c r="L159" i="7"/>
  <c r="M159" i="7" s="1"/>
  <c r="L158" i="7"/>
  <c r="M158" i="7" s="1"/>
  <c r="L157" i="7"/>
  <c r="M157" i="7" s="1"/>
  <c r="L156" i="7"/>
  <c r="M156" i="7" s="1"/>
  <c r="L155" i="7"/>
  <c r="M155" i="7" s="1"/>
  <c r="L154" i="7"/>
  <c r="M154" i="7" s="1"/>
  <c r="L153" i="7"/>
  <c r="L152" i="7"/>
  <c r="M152" i="7" s="1"/>
  <c r="L151" i="7"/>
  <c r="M151" i="7" s="1"/>
  <c r="L150" i="7"/>
  <c r="M150" i="7" s="1"/>
  <c r="L149" i="7"/>
  <c r="M149" i="7" s="1"/>
  <c r="L148" i="7"/>
  <c r="M148" i="7" s="1"/>
  <c r="L147" i="7"/>
  <c r="M147" i="7" s="1"/>
  <c r="L146" i="7"/>
  <c r="M146" i="7" s="1"/>
  <c r="L145" i="7"/>
  <c r="M145" i="7" s="1"/>
  <c r="L144" i="7"/>
  <c r="M144" i="7" s="1"/>
  <c r="L143" i="7"/>
  <c r="M143" i="7" s="1"/>
  <c r="L142" i="7"/>
  <c r="M142" i="7" s="1"/>
  <c r="L141" i="7"/>
  <c r="M141" i="7" s="1"/>
  <c r="L140" i="7"/>
  <c r="M140" i="7" s="1"/>
  <c r="L139" i="7"/>
  <c r="M139" i="7" s="1"/>
  <c r="L138" i="7"/>
  <c r="M138" i="7" s="1"/>
  <c r="L137" i="7"/>
  <c r="M137" i="7" s="1"/>
  <c r="L136" i="7"/>
  <c r="M136" i="7" s="1"/>
  <c r="L135" i="7"/>
  <c r="M135" i="7" s="1"/>
  <c r="L134" i="7"/>
  <c r="M134" i="7" s="1"/>
  <c r="L133" i="7"/>
  <c r="M133" i="7" s="1"/>
  <c r="L132" i="7"/>
  <c r="M132" i="7" s="1"/>
  <c r="L131" i="7"/>
  <c r="M131" i="7" s="1"/>
  <c r="L130" i="7"/>
  <c r="M130" i="7" s="1"/>
  <c r="L129" i="7"/>
  <c r="M129" i="7" s="1"/>
  <c r="L128" i="7"/>
  <c r="M128" i="7" s="1"/>
  <c r="L127" i="7"/>
  <c r="M127" i="7" s="1"/>
  <c r="L126" i="7"/>
  <c r="M126" i="7" s="1"/>
  <c r="L125" i="7"/>
  <c r="M125" i="7" s="1"/>
  <c r="L124" i="7"/>
  <c r="L123" i="7"/>
  <c r="L122" i="7"/>
  <c r="L121" i="7"/>
  <c r="M121" i="7" s="1"/>
  <c r="L120" i="7"/>
  <c r="M120" i="7" s="1"/>
  <c r="L119" i="7"/>
  <c r="M119" i="7" s="1"/>
  <c r="L118" i="7"/>
  <c r="M118" i="7" s="1"/>
  <c r="L117" i="7"/>
  <c r="M117" i="7" s="1"/>
  <c r="L116" i="7"/>
  <c r="M116" i="7" s="1"/>
  <c r="L115" i="7"/>
  <c r="M115" i="7" s="1"/>
  <c r="L114" i="7"/>
  <c r="M114" i="7" s="1"/>
  <c r="L113" i="7"/>
  <c r="M113" i="7" s="1"/>
  <c r="L112" i="7"/>
  <c r="M112" i="7" s="1"/>
  <c r="L111" i="7"/>
  <c r="M111" i="7" s="1"/>
  <c r="L110" i="7"/>
  <c r="M110" i="7" s="1"/>
  <c r="L109" i="7"/>
  <c r="M109" i="7" s="1"/>
  <c r="L108" i="7"/>
  <c r="L107" i="7"/>
  <c r="M107" i="7" s="1"/>
  <c r="L106" i="7"/>
  <c r="M106" i="7" s="1"/>
  <c r="L105" i="7"/>
  <c r="M105" i="7" s="1"/>
  <c r="L104" i="7"/>
  <c r="M104" i="7" s="1"/>
  <c r="L103" i="7"/>
  <c r="M103" i="7" s="1"/>
  <c r="L102" i="7"/>
  <c r="M102" i="7" s="1"/>
  <c r="L101" i="7"/>
  <c r="M101" i="7" s="1"/>
  <c r="L100" i="7"/>
  <c r="M100" i="7" s="1"/>
  <c r="L99" i="7"/>
  <c r="M99" i="7" s="1"/>
  <c r="L98" i="7"/>
  <c r="M98" i="7" s="1"/>
  <c r="L97" i="7"/>
  <c r="M97" i="7" s="1"/>
  <c r="L96" i="7"/>
  <c r="M96" i="7" s="1"/>
  <c r="L95" i="7"/>
  <c r="L94" i="7"/>
  <c r="L93" i="7"/>
  <c r="M93" i="7" s="1"/>
  <c r="L92" i="7"/>
  <c r="M92" i="7" s="1"/>
  <c r="L91" i="7"/>
  <c r="M91" i="7" s="1"/>
  <c r="L90" i="7"/>
  <c r="M90" i="7" s="1"/>
  <c r="L89" i="7"/>
  <c r="L88" i="7"/>
  <c r="L87" i="7"/>
  <c r="M87" i="7" s="1"/>
  <c r="L86" i="7"/>
  <c r="M86" i="7" s="1"/>
  <c r="L85" i="7"/>
  <c r="M85" i="7" s="1"/>
  <c r="L84" i="7"/>
  <c r="M84" i="7" s="1"/>
  <c r="L83" i="7"/>
  <c r="M83" i="7" s="1"/>
  <c r="L82" i="7"/>
  <c r="M82" i="7" s="1"/>
  <c r="L81" i="7"/>
  <c r="M81" i="7" s="1"/>
  <c r="L80" i="7"/>
  <c r="M80" i="7" s="1"/>
  <c r="L79" i="7"/>
  <c r="L78" i="7"/>
  <c r="M78" i="7" s="1"/>
  <c r="L77" i="7"/>
  <c r="M77" i="7" s="1"/>
  <c r="L76" i="7"/>
  <c r="M76" i="7" s="1"/>
  <c r="L75" i="7"/>
  <c r="M75" i="7" s="1"/>
  <c r="L74" i="7"/>
  <c r="M74" i="7" s="1"/>
  <c r="L73" i="7"/>
  <c r="M73" i="7" s="1"/>
  <c r="L72" i="7"/>
  <c r="M72" i="7" s="1"/>
  <c r="L71" i="7"/>
  <c r="M71" i="7" s="1"/>
  <c r="L70" i="7"/>
  <c r="M70" i="7" s="1"/>
  <c r="L69" i="7"/>
  <c r="M69" i="7" s="1"/>
  <c r="L68" i="7"/>
  <c r="M68" i="7" s="1"/>
  <c r="L67" i="7"/>
  <c r="M67" i="7" s="1"/>
  <c r="L66" i="7"/>
  <c r="M66" i="7" s="1"/>
  <c r="L65" i="7"/>
  <c r="M65" i="7" s="1"/>
  <c r="L64" i="7"/>
  <c r="M64" i="7" s="1"/>
  <c r="L63" i="7"/>
  <c r="M63" i="7" s="1"/>
  <c r="L62" i="7"/>
  <c r="M62" i="7" s="1"/>
  <c r="L61" i="7"/>
  <c r="M61" i="7" s="1"/>
  <c r="L60" i="7"/>
  <c r="M60" i="7" s="1"/>
  <c r="L59" i="7"/>
  <c r="M59" i="7" s="1"/>
  <c r="L58" i="7"/>
  <c r="M58" i="7" s="1"/>
  <c r="L57" i="7"/>
  <c r="M57" i="7" s="1"/>
  <c r="L56" i="7"/>
  <c r="M56" i="7" s="1"/>
  <c r="L55" i="7"/>
  <c r="M55" i="7" s="1"/>
  <c r="L54" i="7"/>
  <c r="M54" i="7" s="1"/>
  <c r="L53" i="7"/>
  <c r="M53" i="7" s="1"/>
  <c r="L52" i="7"/>
  <c r="M52" i="7" s="1"/>
  <c r="L51" i="7"/>
  <c r="M51" i="7" s="1"/>
  <c r="L50" i="7"/>
  <c r="M50" i="7" s="1"/>
  <c r="L49" i="7"/>
  <c r="M49" i="7" s="1"/>
  <c r="L48" i="7"/>
  <c r="M48" i="7" s="1"/>
  <c r="L47" i="7"/>
  <c r="M47" i="7" s="1"/>
  <c r="L46" i="7"/>
  <c r="M46" i="7" s="1"/>
  <c r="L45" i="7"/>
  <c r="M45" i="7" s="1"/>
  <c r="L44" i="7"/>
  <c r="M44" i="7" s="1"/>
  <c r="L43" i="7"/>
  <c r="M43" i="7" s="1"/>
  <c r="L42" i="7"/>
  <c r="M42" i="7" s="1"/>
  <c r="L41" i="7"/>
  <c r="M41" i="7" s="1"/>
  <c r="L40" i="7"/>
  <c r="M40" i="7" s="1"/>
  <c r="L39" i="7"/>
  <c r="M39" i="7" s="1"/>
  <c r="L38" i="7"/>
  <c r="M38" i="7" s="1"/>
  <c r="L37" i="7"/>
  <c r="M37" i="7" s="1"/>
  <c r="L36" i="7"/>
  <c r="M36" i="7" s="1"/>
  <c r="L35" i="7"/>
  <c r="M35" i="7" s="1"/>
  <c r="G69" i="1"/>
  <c r="L34" i="7"/>
  <c r="M34" i="7" s="1"/>
  <c r="L33" i="7"/>
  <c r="M33" i="7" s="1"/>
  <c r="L32" i="7"/>
  <c r="M32" i="7" s="1"/>
  <c r="L31" i="7"/>
  <c r="M31" i="7" s="1"/>
  <c r="L30" i="7"/>
  <c r="M30" i="7" s="1"/>
  <c r="L29" i="7"/>
  <c r="M29" i="7" s="1"/>
  <c r="L28" i="7"/>
  <c r="M28" i="7" s="1"/>
  <c r="L27" i="7"/>
  <c r="M27" i="7" s="1"/>
  <c r="L26" i="7"/>
  <c r="M26" i="7" s="1"/>
  <c r="L25" i="7"/>
  <c r="L24" i="7"/>
  <c r="M24" i="7" s="1"/>
  <c r="L23" i="7"/>
  <c r="M23" i="7" s="1"/>
  <c r="L22" i="7"/>
  <c r="M22" i="7" s="1"/>
  <c r="L21" i="7"/>
  <c r="M21" i="7" s="1"/>
  <c r="L20" i="7"/>
  <c r="M20" i="7" s="1"/>
  <c r="E44" i="1"/>
  <c r="L19" i="7"/>
  <c r="M19" i="7" s="1"/>
  <c r="L18" i="7"/>
  <c r="M18" i="7" s="1"/>
  <c r="L17" i="7"/>
  <c r="M17" i="7" s="1"/>
  <c r="L16" i="7"/>
  <c r="L15" i="7"/>
  <c r="M15" i="7" s="1"/>
  <c r="G67" i="1"/>
  <c r="L14" i="7"/>
  <c r="M14" i="7" s="1"/>
  <c r="L13" i="7"/>
  <c r="M13" i="7" s="1"/>
  <c r="L12" i="7"/>
  <c r="L11" i="7"/>
  <c r="L10" i="7"/>
  <c r="L9" i="7"/>
  <c r="M9" i="7" s="1"/>
  <c r="E45" i="1"/>
  <c r="G71" i="1"/>
  <c r="L8" i="7"/>
  <c r="M8" i="7"/>
  <c r="E43" i="1"/>
  <c r="L7" i="7"/>
  <c r="L6" i="7"/>
  <c r="G73" i="1"/>
  <c r="L5" i="7"/>
  <c r="M5" i="7" s="1"/>
  <c r="C25" i="1"/>
  <c r="E42" i="1"/>
  <c r="G72" i="1"/>
  <c r="E14" i="1"/>
  <c r="B22" i="1"/>
  <c r="J5" i="5"/>
  <c r="H65" i="5"/>
  <c r="B9" i="1"/>
  <c r="G9" i="1"/>
  <c r="I9" i="1"/>
  <c r="C13" i="1"/>
  <c r="M153" i="7" l="1"/>
  <c r="M25" i="7"/>
  <c r="M95" i="7"/>
  <c r="M94" i="7"/>
  <c r="M89" i="7"/>
  <c r="M88" i="7"/>
  <c r="H71" i="1" s="1"/>
  <c r="M79" i="7"/>
  <c r="M123" i="7"/>
  <c r="M108" i="7"/>
  <c r="M12" i="7"/>
  <c r="M11" i="7"/>
  <c r="M10" i="7"/>
  <c r="M6" i="7"/>
  <c r="I20" i="4"/>
  <c r="M124" i="7"/>
  <c r="M7" i="7"/>
  <c r="I19" i="4"/>
  <c r="M122" i="7"/>
  <c r="M16" i="7"/>
  <c r="D46" i="1"/>
  <c r="H69" i="1"/>
  <c r="F38" i="1"/>
  <c r="G38" i="1" s="1"/>
  <c r="F37" i="1"/>
  <c r="G37" i="1" s="1"/>
  <c r="J65" i="5"/>
  <c r="C28" i="1" s="1"/>
  <c r="F39" i="1"/>
  <c r="G39" i="1" s="1"/>
  <c r="H70" i="1"/>
  <c r="F45" i="1"/>
  <c r="G45" i="1" s="1"/>
  <c r="D22" i="1"/>
  <c r="F42" i="1"/>
  <c r="G42" i="1" s="1"/>
  <c r="H72" i="1"/>
  <c r="D13" i="1"/>
  <c r="E13" i="1"/>
  <c r="C15" i="1"/>
  <c r="C16" i="1"/>
  <c r="F43" i="1"/>
  <c r="G43" i="1" s="1"/>
  <c r="F34" i="1"/>
  <c r="F36" i="1"/>
  <c r="G36" i="1" s="1"/>
  <c r="E46" i="1"/>
  <c r="D14" i="1"/>
  <c r="H68" i="1"/>
  <c r="F35" i="1"/>
  <c r="G35" i="1" s="1"/>
  <c r="F40" i="1"/>
  <c r="G40" i="1" s="1"/>
  <c r="F41" i="1"/>
  <c r="G41" i="1" s="1"/>
  <c r="H67" i="1"/>
  <c r="F44" i="1"/>
  <c r="G44" i="1" s="1"/>
  <c r="G22" i="1" l="1"/>
  <c r="H73" i="1"/>
  <c r="I22" i="1"/>
  <c r="C26" i="1"/>
  <c r="D15" i="1"/>
  <c r="E15" i="1"/>
  <c r="D16" i="1"/>
  <c r="E16" i="1"/>
  <c r="F46" i="1"/>
  <c r="G46" i="1" s="1"/>
  <c r="G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Viviana Daconte</author>
  </authors>
  <commentList>
    <comment ref="G4" authorId="0" shapeId="0" xr:uid="{4EB58656-12BF-4A52-98B0-C6A295BC9E3C}">
      <text>
        <r>
          <rPr>
            <b/>
            <sz val="9"/>
            <color indexed="81"/>
            <rFont val="Tahoma"/>
            <family val="2"/>
          </rPr>
          <t>ADIMCLO:</t>
        </r>
        <r>
          <rPr>
            <sz val="9"/>
            <color indexed="81"/>
            <rFont val="Tahoma"/>
            <family val="2"/>
          </rPr>
          <t xml:space="preserve">
Horas disponibles = sillas × días trabajados × horas por día. Es el inventario que usted tiene para vender.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Viviana Daconte</author>
  </authors>
  <commentList>
    <comment ref="I4" authorId="0" shapeId="0" xr:uid="{CD195EB5-FA7D-49DD-BFC1-2E8CBA84644F}">
      <text>
        <r>
          <rPr>
            <b/>
            <sz val="9"/>
            <color indexed="81"/>
            <rFont val="Tahoma"/>
            <family val="2"/>
          </rPr>
          <t>ADIMCLO:</t>
        </r>
        <r>
          <rPr>
            <sz val="9"/>
            <color indexed="81"/>
            <rFont val="Tahoma"/>
            <family val="2"/>
          </rPr>
          <t xml:space="preserve">
Margen = precio − costo de producto − comisión. No incluye el costo fijo del local.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Viviana Daconte</author>
  </authors>
  <commentList>
    <comment ref="J4" authorId="0" shapeId="0" xr:uid="{2BAD1CC5-D860-4003-9E1E-279EB8FBAF63}">
      <text>
        <r>
          <rPr>
            <b/>
            <sz val="9"/>
            <color indexed="81"/>
            <rFont val="Tahoma"/>
            <family val="2"/>
          </rPr>
          <t>ADIMCLO:</t>
        </r>
        <r>
          <rPr>
            <sz val="9"/>
            <color indexed="81"/>
            <rFont val="Tahoma"/>
            <family val="2"/>
          </rPr>
          <t xml:space="preserve">
Desviación positiva = se consumió más de lo que las fichas indican. Es el equivalente a la merma en un restaurante.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Viviana Daconte</author>
  </authors>
  <commentList>
    <comment ref="E4" authorId="0" shapeId="0" xr:uid="{889FCA20-77F0-44F6-BBA3-52C28EB2D69F}">
      <text>
        <r>
          <rPr>
            <b/>
            <sz val="9"/>
            <color indexed="81"/>
            <rFont val="Tahoma"/>
            <family val="2"/>
          </rPr>
          <t>ADIMCLO:</t>
        </r>
        <r>
          <rPr>
            <sz val="9"/>
            <color indexed="81"/>
            <rFont val="Tahoma"/>
            <family val="2"/>
          </rPr>
          <t xml:space="preserve">
Ejemplo: una coloración de raíz lleva 45 g de tinte y 60 ml de agua oxigenada. Con eso la plantilla sabe cuánto debió consumirse.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Viviana Daconte</author>
  </authors>
  <commentList>
    <comment ref="G4" authorId="0" shapeId="0" xr:uid="{6377D5ED-1C2B-4E92-A9BC-D35C1ABE9AA4}">
      <text>
        <r>
          <rPr>
            <b/>
            <sz val="9"/>
            <color indexed="81"/>
            <rFont val="Tahoma"/>
            <family val="2"/>
          </rPr>
          <t>ADIMCLO:</t>
        </r>
        <r>
          <rPr>
            <sz val="9"/>
            <color indexed="81"/>
            <rFont val="Tahoma"/>
            <family val="2"/>
          </rPr>
          <t xml:space="preserve">
La franja se escribe libre (Mañana, Tarde, Noche) o con la hora. El tablero agrupa por lo que usted escriba.</t>
        </r>
      </text>
    </comment>
  </commentList>
</comments>
</file>

<file path=xl/sharedStrings.xml><?xml version="1.0" encoding="utf-8"?>
<sst xmlns="http://schemas.openxmlformats.org/spreadsheetml/2006/main" count="1716" uniqueCount="336">
  <si>
    <t>PELUQUERÍAS Y BARBERÍAS  ·  Tablero de monitoreo de servicios</t>
  </si>
  <si>
    <t>Se actualiza solo a medida que usted carga profesionales, servicios y el registro de atenciones.</t>
  </si>
  <si>
    <t>1 · La silla vacía</t>
  </si>
  <si>
    <t>HORAS DISPONIBLES</t>
  </si>
  <si>
    <t>HORAS VENDIDAS</t>
  </si>
  <si>
    <t>OCUPACIÓN</t>
  </si>
  <si>
    <t>HORAS NO VENDIDAS</t>
  </si>
  <si>
    <t>Concepto</t>
  </si>
  <si>
    <t>Horas</t>
  </si>
  <si>
    <t>% de la capacidad</t>
  </si>
  <si>
    <t>Valor en pesos</t>
  </si>
  <si>
    <t>Capacidad instalada</t>
  </si>
  <si>
    <t>Horas efectivamente vendidas</t>
  </si>
  <si>
    <t>Horas no vendidas</t>
  </si>
  <si>
    <t>Brecha contra la meta</t>
  </si>
  <si>
    <t>2 · Resultado del período</t>
  </si>
  <si>
    <t>VENTA NETA</t>
  </si>
  <si>
    <t>COMISIONES</t>
  </si>
  <si>
    <t>COSTO DE PRODUCTO</t>
  </si>
  <si>
    <t>MARGEN</t>
  </si>
  <si>
    <t>Servicios prestados</t>
  </si>
  <si>
    <t>La desviación de producto compara lo que las fichas técnicas dicen que debió consumirse contra lo que realmente salió de la bodega. Si es positiva, se está aplicando más producto del estándar. No es un problema de personas: es una dosis sin estandarizar.</t>
  </si>
  <si>
    <t>Ticket promedio</t>
  </si>
  <si>
    <t>Margen sobre la venta</t>
  </si>
  <si>
    <t>Clientes distintos atendidos</t>
  </si>
  <si>
    <t>Desviación de producto</t>
  </si>
  <si>
    <t>3 · Qué le llena la agenda y qué le deja margen</t>
  </si>
  <si>
    <t>Servicio</t>
  </si>
  <si>
    <t>Veces prestado</t>
  </si>
  <si>
    <t>Venta neta</t>
  </si>
  <si>
    <t>Margen $</t>
  </si>
  <si>
    <t>Margen por hora</t>
  </si>
  <si>
    <t>TOTAL</t>
  </si>
  <si>
    <t>El margen por hora es la cifra que ordena la agenda: un servicio corto de margen bajo puede rendir más por hora que uno largo de margen alto.</t>
  </si>
  <si>
    <t>4 · Ocupación por día de la semana</t>
  </si>
  <si>
    <t>5 · Ocupación por franja</t>
  </si>
  <si>
    <t>Día</t>
  </si>
  <si>
    <t>Horas vendidas</t>
  </si>
  <si>
    <t>Servicios</t>
  </si>
  <si>
    <t>Franja</t>
  </si>
  <si>
    <t>lun</t>
  </si>
  <si>
    <t>Mañana</t>
  </si>
  <si>
    <t>mar</t>
  </si>
  <si>
    <t>Tarde</t>
  </si>
  <si>
    <t>mié</t>
  </si>
  <si>
    <t>Noche</t>
  </si>
  <si>
    <t>jue</t>
  </si>
  <si>
    <t>vie</t>
  </si>
  <si>
    <t>La franja con menos horas vendidas es la oportunidad más barata que tiene: la silla ya está pagada. Suele ser la mañana entre semana, y suele llenarse con un servicio distinto al de la tarde.</t>
  </si>
  <si>
    <t>sáb</t>
  </si>
  <si>
    <t>dom</t>
  </si>
  <si>
    <t>6 · Productividad por profesional</t>
  </si>
  <si>
    <t>Profesional</t>
  </si>
  <si>
    <t>Horas disponibles</t>
  </si>
  <si>
    <t>Ocupación</t>
  </si>
  <si>
    <t>Qué le llena la agenda y qué le deja margen</t>
  </si>
  <si>
    <t>ADIMCLO · Consultoría en datos, estrategia empresarial, arquitectura, integración y automatización     ·     Prototipo de demostración con datos de ejemplo.</t>
  </si>
  <si>
    <t>ADIMCLO  ·  Monitoreo de Servicios</t>
  </si>
  <si>
    <t>Plantilla gratuita · Salones de belleza, peluquerías, spa, barberías y cualquier negocio que venda tiempo de un profesional</t>
  </si>
  <si>
    <t>En un negocio de servicios la utilidad no se pierde en la caja: se pierde en la silla que nadie ocupó, en el producto que se aplicó de más y en la clienta que se demoró en volver. Ninguna de las tres cosas aparece en un informe de ventas, porque los sistemas registran lo que se vendió y nunca lo que se pudo vender.
Esta plantilla cruza tres datos que casi nunca se cruzan: la capacidad instalada de sus sillas, los servicios efectivamente prestados y el producto que consumieron. Con eso calcula cuánto valen las horas que se fueron sin vender.</t>
  </si>
  <si>
    <t>CÓMO USARLA</t>
  </si>
  <si>
    <t>1. Ajuste los parámetros</t>
  </si>
  <si>
    <t>Aquí abajo: días del período, horas de apertura y meta de ocupación.</t>
  </si>
  <si>
    <t>2. Cargue su equipo y su catálogo</t>
  </si>
  <si>
    <t>Hojas «Profesionales» y «Servicios». Una fila por persona y por servicio.</t>
  </si>
  <si>
    <t>3. Cargue los insumos y las fichas</t>
  </si>
  <si>
    <t>Hojas «Insumos» y «Fichas técnicas». La ficha dice cuánto producto lleva cada servicio.</t>
  </si>
  <si>
    <t>4. Registre los servicios prestados</t>
  </si>
  <si>
    <t>Hoja «Registro». Una fila por servicio realizado. Con dos semanas ya se ve la tendencia.</t>
  </si>
  <si>
    <t>5. Lea el tablero</t>
  </si>
  <si>
    <t>Hoja «Tablero». Se actualiza sola.</t>
  </si>
  <si>
    <t>PARÁMETROS</t>
  </si>
  <si>
    <t>Días del período analizado</t>
  </si>
  <si>
    <t>Cuántos días cubre el registro. Sugerido: 14 para el arranque.</t>
  </si>
  <si>
    <t>Horas de apertura por día</t>
  </si>
  <si>
    <t>De la hora en que abre a la que cierra.</t>
  </si>
  <si>
    <t>Días abiertos por semana</t>
  </si>
  <si>
    <t>Para estimar la capacidad semanal.</t>
  </si>
  <si>
    <t>Meta de ocupación</t>
  </si>
  <si>
    <t>Porcentaje de horas de silla que aspira a vender. Referencia del sector: 70% a 80%.</t>
  </si>
  <si>
    <t>Costo fijo mensual del local</t>
  </si>
  <si>
    <t>Arriendo, servicios, nómina de planta. Sirve para valorar la hora de silla.</t>
  </si>
  <si>
    <t>CONVENCIÓN DE COLORES</t>
  </si>
  <si>
    <t>Amarillo con texto azul</t>
  </si>
  <si>
    <t>Usted escribe aquí</t>
  </si>
  <si>
    <t>Azul claro</t>
  </si>
  <si>
    <t>Lo calcula la plantilla: no escribir</t>
  </si>
  <si>
    <t>Blanco</t>
  </si>
  <si>
    <t>Dato que usted carga en las hojas de datos</t>
  </si>
  <si>
    <t>IMPORTANTE — qué es y qué no es esta plantilla
Es un prototipo para que usted vea sus propios números con el mínimo esfuerzo. Funciona bien con dos semanas de registro y un catálogo acotado. No reemplaza un sistema de agenda ni se conecta a su caja: cada dato se escribe a mano, y por eso no es sostenible como práctica mensual. La hoja «Servicios ADIMCLO» explica qué se necesita para automatizarlo.</t>
  </si>
  <si>
    <t>ADIMCLO  ·  Equipo y capacidad instalada</t>
  </si>
  <si>
    <t>Código</t>
  </si>
  <si>
    <t>Nombre</t>
  </si>
  <si>
    <t>Rol</t>
  </si>
  <si>
    <t>Sillas o puestos</t>
  </si>
  <si>
    <t>Días trabajados en el período</t>
  </si>
  <si>
    <t>Horas por día</t>
  </si>
  <si>
    <t>% de comisión</t>
  </si>
  <si>
    <t>P01</t>
  </si>
  <si>
    <t>Ana Ramírez</t>
  </si>
  <si>
    <t>Estilista senior</t>
  </si>
  <si>
    <t>P02</t>
  </si>
  <si>
    <t>Carlos Díaz</t>
  </si>
  <si>
    <t>Estilista</t>
  </si>
  <si>
    <t>P03</t>
  </si>
  <si>
    <t>Lucía Peña</t>
  </si>
  <si>
    <t>Colorista</t>
  </si>
  <si>
    <t>P04</t>
  </si>
  <si>
    <t>Sara Gómez</t>
  </si>
  <si>
    <t>Manicurista</t>
  </si>
  <si>
    <t>P06</t>
  </si>
  <si>
    <t>Laura Cifuentes</t>
  </si>
  <si>
    <t>Estilista junior</t>
  </si>
  <si>
    <t>P07</t>
  </si>
  <si>
    <t>Diego Peña</t>
  </si>
  <si>
    <t>Barbero</t>
  </si>
  <si>
    <t>P08</t>
  </si>
  <si>
    <t>Marcela Ruiz</t>
  </si>
  <si>
    <t>CAPACIDAD TOTAL</t>
  </si>
  <si>
    <t>ADIMCLO  ·  Catálogo de servicios</t>
  </si>
  <si>
    <t>Categoría</t>
  </si>
  <si>
    <t>Duración (minutos)</t>
  </si>
  <si>
    <t>Precio de venta</t>
  </si>
  <si>
    <t>Costo de producto</t>
  </si>
  <si>
    <t>Comisión $</t>
  </si>
  <si>
    <t>SV-01</t>
  </si>
  <si>
    <t>Corte dama</t>
  </si>
  <si>
    <t>Corte</t>
  </si>
  <si>
    <t>SV-02</t>
  </si>
  <si>
    <t>Corte caballero</t>
  </si>
  <si>
    <t>SV-03</t>
  </si>
  <si>
    <t>Coloración raíz</t>
  </si>
  <si>
    <t>Color</t>
  </si>
  <si>
    <t>SV-04</t>
  </si>
  <si>
    <t>Mechas / balayage</t>
  </si>
  <si>
    <t>SV-05</t>
  </si>
  <si>
    <t>Keratina</t>
  </si>
  <si>
    <t>Tratamiento</t>
  </si>
  <si>
    <t>SV-06</t>
  </si>
  <si>
    <t>Manicure</t>
  </si>
  <si>
    <t>Uñas</t>
  </si>
  <si>
    <t>SV-07</t>
  </si>
  <si>
    <t>Peinado / brushing</t>
  </si>
  <si>
    <t>Peinado</t>
  </si>
  <si>
    <t>SV-08</t>
  </si>
  <si>
    <t>Cepillado y secado</t>
  </si>
  <si>
    <t>SV-09</t>
  </si>
  <si>
    <t>Corte niño</t>
  </si>
  <si>
    <t>SV-10</t>
  </si>
  <si>
    <t>Barba y perfilado</t>
  </si>
  <si>
    <t>Barbería</t>
  </si>
  <si>
    <t>SV-11</t>
  </si>
  <si>
    <t>Corte caballero + barba</t>
  </si>
  <si>
    <t>SV-12</t>
  </si>
  <si>
    <t>Retoque de color</t>
  </si>
  <si>
    <t>SV-13</t>
  </si>
  <si>
    <t>Matización / toner</t>
  </si>
  <si>
    <t>SV-14</t>
  </si>
  <si>
    <t>Hidratación profunda</t>
  </si>
  <si>
    <t>SV-15</t>
  </si>
  <si>
    <t>Tratamiento anticaída</t>
  </si>
  <si>
    <t>SV-16</t>
  </si>
  <si>
    <t>Manicure semipermanente</t>
  </si>
  <si>
    <t>SV-17</t>
  </si>
  <si>
    <t>Pedicure spa</t>
  </si>
  <si>
    <t>SV-18</t>
  </si>
  <si>
    <t>Diseño de uñas</t>
  </si>
  <si>
    <t>SV-19</t>
  </si>
  <si>
    <t>Peinado para evento</t>
  </si>
  <si>
    <t>SV-20</t>
  </si>
  <si>
    <t>Depilación de cejas</t>
  </si>
  <si>
    <t>Estética</t>
  </si>
  <si>
    <t>ADIMCLO  ·  Insumos y consumo</t>
  </si>
  <si>
    <t>Insumo</t>
  </si>
  <si>
    <t>Unidad</t>
  </si>
  <si>
    <t>Costo unitario</t>
  </si>
  <si>
    <t>Stock inicial</t>
  </si>
  <si>
    <t>Compras del período</t>
  </si>
  <si>
    <t>Stock final</t>
  </si>
  <si>
    <t>Consumo real</t>
  </si>
  <si>
    <t>Consumo teórico</t>
  </si>
  <si>
    <t>Desviación $</t>
  </si>
  <si>
    <t>IN-01</t>
  </si>
  <si>
    <t>Tinte permanente</t>
  </si>
  <si>
    <t>g</t>
  </si>
  <si>
    <t>IN-02</t>
  </si>
  <si>
    <t>Agua oxigenada</t>
  </si>
  <si>
    <t>ml</t>
  </si>
  <si>
    <t>IN-03</t>
  </si>
  <si>
    <t>Decolorante</t>
  </si>
  <si>
    <t>IN-04</t>
  </si>
  <si>
    <t>IN-05</t>
  </si>
  <si>
    <t>Shampoo profesional</t>
  </si>
  <si>
    <t>IN-06</t>
  </si>
  <si>
    <t>Esmalte</t>
  </si>
  <si>
    <t>IN-08</t>
  </si>
  <si>
    <t>Decolorante en polvo</t>
  </si>
  <si>
    <t>IN-09</t>
  </si>
  <si>
    <t>Agua oxigenada 20 vol</t>
  </si>
  <si>
    <t>IN-10</t>
  </si>
  <si>
    <t>Keratina en crema</t>
  </si>
  <si>
    <t>IN-11</t>
  </si>
  <si>
    <t>Mascarilla hidratante</t>
  </si>
  <si>
    <t>IN-12</t>
  </si>
  <si>
    <t>Esmalte semipermanente</t>
  </si>
  <si>
    <t>IN-13</t>
  </si>
  <si>
    <t>Removedor de esmalte</t>
  </si>
  <si>
    <t>IN-14</t>
  </si>
  <si>
    <t>Cera depilatoria</t>
  </si>
  <si>
    <t>ADIMCLO  ·  Fichas técnicas de servicio</t>
  </si>
  <si>
    <t>Código del servicio</t>
  </si>
  <si>
    <t>Código del insumo</t>
  </si>
  <si>
    <t>Cantidad por servicio</t>
  </si>
  <si>
    <t>Consumo teórico total</t>
  </si>
  <si>
    <t>Costo del insumo en el servicio</t>
  </si>
  <si>
    <t>Nombre del insumo</t>
  </si>
  <si>
    <t>ADIMCLO  ·  Registro de servicios prestados</t>
  </si>
  <si>
    <t>Fecha</t>
  </si>
  <si>
    <t>Nombre del servicio</t>
  </si>
  <si>
    <t>Cliente</t>
  </si>
  <si>
    <t>Duración (min)</t>
  </si>
  <si>
    <t>Precio de lista</t>
  </si>
  <si>
    <t>Descuento %</t>
  </si>
  <si>
    <t>Cliente 47</t>
  </si>
  <si>
    <t>Cliente 20</t>
  </si>
  <si>
    <t>Cliente 21</t>
  </si>
  <si>
    <t>Cliente 06</t>
  </si>
  <si>
    <t>Cliente 50</t>
  </si>
  <si>
    <t>Cliente 22</t>
  </si>
  <si>
    <t>Cliente 53</t>
  </si>
  <si>
    <t>Cliente 41</t>
  </si>
  <si>
    <t>Cliente 43</t>
  </si>
  <si>
    <t>Cliente 48</t>
  </si>
  <si>
    <t>Cliente 38</t>
  </si>
  <si>
    <t>Cliente 58</t>
  </si>
  <si>
    <t>Cliente 02</t>
  </si>
  <si>
    <t>Mediodía</t>
  </si>
  <si>
    <t>Cliente 59</t>
  </si>
  <si>
    <t>Cliente 28</t>
  </si>
  <si>
    <t>Cliente 49</t>
  </si>
  <si>
    <t>Cliente 44</t>
  </si>
  <si>
    <t>Cliente 09</t>
  </si>
  <si>
    <t>Cliente 52</t>
  </si>
  <si>
    <t>Cliente 39</t>
  </si>
  <si>
    <t>Cliente 37</t>
  </si>
  <si>
    <t>Cliente 18</t>
  </si>
  <si>
    <t>Cliente 29</t>
  </si>
  <si>
    <t>Cliente 30</t>
  </si>
  <si>
    <t>Cliente 51</t>
  </si>
  <si>
    <t>Cliente 57</t>
  </si>
  <si>
    <t>Cliente 33</t>
  </si>
  <si>
    <t>Cliente 15</t>
  </si>
  <si>
    <t>Cliente 17</t>
  </si>
  <si>
    <t>Cliente 56</t>
  </si>
  <si>
    <t>Cliente 10</t>
  </si>
  <si>
    <t>Cliente 35</t>
  </si>
  <si>
    <t>Cliente 55</t>
  </si>
  <si>
    <t>Cliente 60</t>
  </si>
  <si>
    <t>Cliente 11</t>
  </si>
  <si>
    <t>Cliente 45</t>
  </si>
  <si>
    <t>Cliente 54</t>
  </si>
  <si>
    <t>Cliente 34</t>
  </si>
  <si>
    <t>Cliente 42</t>
  </si>
  <si>
    <t>Cliente 32</t>
  </si>
  <si>
    <t>Cliente 03</t>
  </si>
  <si>
    <t>Cliente 13</t>
  </si>
  <si>
    <t>Cliente 14</t>
  </si>
  <si>
    <t>Cliente 36</t>
  </si>
  <si>
    <t>Cliente 04</t>
  </si>
  <si>
    <t>Cliente 40</t>
  </si>
  <si>
    <t>Cliente 27</t>
  </si>
  <si>
    <t>Cliente 01</t>
  </si>
  <si>
    <t>Cliente 12</t>
  </si>
  <si>
    <t>Cliente 31</t>
  </si>
  <si>
    <t>Cliente 05</t>
  </si>
  <si>
    <t>Cliente 46</t>
  </si>
  <si>
    <t>Cliente 19</t>
  </si>
  <si>
    <t>Cliente 23</t>
  </si>
  <si>
    <t>Cliente 07</t>
  </si>
  <si>
    <t>Cliente 24</t>
  </si>
  <si>
    <t>Cliente 25</t>
  </si>
  <si>
    <t>Cliente 66</t>
  </si>
  <si>
    <t>Cliente 67</t>
  </si>
  <si>
    <t>Cliente 69</t>
  </si>
  <si>
    <t>Cliente 64</t>
  </si>
  <si>
    <t>Cliente 16</t>
  </si>
  <si>
    <t>Cliente 65</t>
  </si>
  <si>
    <t>Cliente 26</t>
  </si>
  <si>
    <t>Cliente 70</t>
  </si>
  <si>
    <t>Cliente 08</t>
  </si>
  <si>
    <t>Cliente 68</t>
  </si>
  <si>
    <t>Cliente 63</t>
  </si>
  <si>
    <t>Cliente 61</t>
  </si>
  <si>
    <t>ADIMCLO  ·  ¿Y si esto lo hiciera solo, todos los meses?</t>
  </si>
  <si>
    <t>Esta plantilla es un prototipo. Sirve para ver el número una vez; no para sostenerlo.</t>
  </si>
  <si>
    <t>Usted acaba de ver cuánto valen las horas de silla que no alcanzó a vender, en qué franja está el hueco, qué servicios le llenan la agenda dejando poco y cuánto producto se aplicó por encima del estándar.
Lo hizo escribiendo los datos a mano. Eso funciona para dos semanas y un catálogo corto. Lo que no se puede sostener así es repetirlo todos los meses, con todas las sillas, con la agenda completa y con el inventario real.</t>
  </si>
  <si>
    <t>LO QUE UN EXCEL NO PUEDE HACER</t>
  </si>
  <si>
    <t>·</t>
  </si>
  <si>
    <t>Leer la agenda y la caja automáticamente, sin que nadie transcriba nada.</t>
  </si>
  <si>
    <t>Avisar sola cuando una clienta se demoró más de lo normal en volver.</t>
  </si>
  <si>
    <t>Descontar el inventario en el momento en que se aplica el producto.</t>
  </si>
  <si>
    <t>Mostrar el tablero actualizado a cada estilista sin enviar un archivo.</t>
  </si>
  <si>
    <t>Proyectar cuánto producto comprar el mes entrante según la agenda esperada.</t>
  </si>
  <si>
    <t>Sostener el histórico sin que el archivo se vuelva inmanejable.</t>
  </si>
  <si>
    <t>NUESTROS SERVICIOS</t>
  </si>
  <si>
    <t>Qué resuelve</t>
  </si>
  <si>
    <t>MINERÍA</t>
  </si>
  <si>
    <t>Extrae y consolida la agenda, la caja y las compras sin transcripción manual.</t>
  </si>
  <si>
    <t>01 · Analítica</t>
  </si>
  <si>
    <t>REPORTERÍA</t>
  </si>
  <si>
    <t>Tableros que cada estilista y la dueña ven actualizados, sin enviar archivos.</t>
  </si>
  <si>
    <t>PRONÓSTICO</t>
  </si>
  <si>
    <t>Proyecta la demanda por franja y el producto a comprar cada mes.</t>
  </si>
  <si>
    <t>RETAIL</t>
  </si>
  <si>
    <t>Cuantifica hasta dónde mover tarifas y mezcla de servicios sin perder clientas.</t>
  </si>
  <si>
    <t>SINAPSIS</t>
  </si>
  <si>
    <t>Conecta el software de agenda con la caja y el inventario.</t>
  </si>
  <si>
    <t>03 · Arquitectura</t>
  </si>
  <si>
    <t>ENGRANAJE</t>
  </si>
  <si>
    <t>Automatiza el aviso a clientas que ya se demoraron en volver.</t>
  </si>
  <si>
    <t>04 · Desarrollo</t>
  </si>
  <si>
    <t>AGILISMO</t>
  </si>
  <si>
    <t>Estandariza la dosis de producto y los tiempos de cada servicio.</t>
  </si>
  <si>
    <t>02 · Consultoría</t>
  </si>
  <si>
    <t>Escríbanos y revisamos juntos su tablero
comercial@adimclo.com   ·   +57 315 368 2262   ·   www.adimclo.com</t>
  </si>
  <si>
    <t>Elaborado por ADIMCLO · Consultoría en datos, estrategia empresarial, arquitectura, integración y automatización</t>
  </si>
  <si>
    <t>Los datos aquí registrados son de ejemplo; borrelos y reemplacelos con su información. Una fila por servicio realizado. Escriba fecha, profesional, servicio y cliente. El resto se calcula solo.</t>
  </si>
  <si>
    <t>Los datos aquí registrados son de ejemplo; borrelos y reemplacelos con su información. Una fila por cada insumo que lleva un servicio para calcular el consumo teórico.</t>
  </si>
  <si>
    <t>Los datos aquí registrados son de ejemplo; borrelos y reemplacelos con su información. Escriba stock inicial, compras y stock final. La plantilla calcula el consumo real y lo compara con el teórico.</t>
  </si>
  <si>
    <t>Los datos aquí registrados son de ejemplo; borrelos y reemplacelos con su información. Duración y precio de cada servicio. El costo de producto lo calcula la hoja de fichas técnicas.</t>
  </si>
  <si>
    <t>Los datos aquí registrados son de ejemplo; borrelos y reemplacelos con su información. Una fila por profesional o por silla. Las horas disponibles definen la capacidad del período.</t>
  </si>
  <si>
    <t>La capacidad es el inventario que usted ya pagó: arriendo, servicios y personal de planta corren estén o no ocupadas las sillas. Las horas no vendidas son ingreso que existía y no se facturó. El valor en pesos usa su propia tarifa promedio por hora vendida.</t>
  </si>
  <si>
    <t>Cómo leerlo</t>
  </si>
  <si>
    <t>Horas 
de agenda</t>
  </si>
  <si>
    <t>Horas 
vendidas</t>
  </si>
  <si>
    <t>Productividad por profesional (en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</si>
</sst>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0;&quot;($&quot;#,##0\);\-"/>
    <numFmt numFmtId="167" formatCode="#,##0;\-#,##0;\-"/>
    <numFmt numFmtId="168" formatCode="0&quot; días&quot;"/>
    <numFmt numFmtId="169" formatCode="0.0&quot; horas&quot;"/>
    <numFmt numFmtId="170" formatCode="0.0"/>
    <numFmt numFmtId="171" formatCode="dd/mm/yyyy"/>
    <numFmt numFmtId="172" formatCode="&quot;$&quot;#,##0"/>
  </numFmts>
  <fonts count="52" x14ac:knownFonts="1">
    <font>
      <sz val="11"/>
      <color theme="1"/>
      <name val="Calibri"/>
      <family val="2"/>
      <charset val="1"/>
    </font>
    <font>
      <b/>
      <sz val="14"/>
      <color rgb="FFFFFFFF"/>
      <name val="Aptos Display"/>
      <family val="2"/>
    </font>
    <font>
      <sz val="11"/>
      <color theme="1"/>
      <name val="Aptos Display"/>
      <family val="2"/>
    </font>
    <font>
      <i/>
      <sz val="9"/>
      <color rgb="FF767DAE"/>
      <name val="Aptos Display"/>
      <family val="2"/>
    </font>
    <font>
      <sz val="10"/>
      <name val="Aptos Display"/>
      <family val="2"/>
    </font>
    <font>
      <b/>
      <sz val="11"/>
      <color rgb="FF1F3864"/>
      <name val="Aptos Display"/>
      <family val="2"/>
    </font>
    <font>
      <b/>
      <sz val="10"/>
      <name val="Aptos Display"/>
      <family val="2"/>
    </font>
    <font>
      <sz val="10"/>
      <color rgb="FF0000FF"/>
      <name val="Aptos Display"/>
      <family val="2"/>
    </font>
    <font>
      <b/>
      <sz val="14"/>
      <color rgb="FF1F3864"/>
      <name val="Aptos Display"/>
      <family val="2"/>
    </font>
    <font>
      <sz val="14"/>
      <color theme="1"/>
      <name val="Aptos Display"/>
      <family val="2"/>
    </font>
    <font>
      <sz val="10"/>
      <color rgb="FF0B7A8C"/>
      <name val="Aptos Display"/>
      <family val="2"/>
    </font>
    <font>
      <b/>
      <sz val="9"/>
      <color rgb="FFFFFFFF"/>
      <name val="Aptos Display"/>
      <family val="2"/>
    </font>
    <font>
      <b/>
      <sz val="10"/>
      <color rgb="FF0B7A8C"/>
      <name val="Aptos Display"/>
      <family val="2"/>
    </font>
    <font>
      <sz val="9"/>
      <name val="Aptos Display"/>
      <family val="2"/>
    </font>
    <font>
      <i/>
      <sz val="9"/>
      <name val="Aptos Display"/>
      <family val="2"/>
    </font>
    <font>
      <sz val="11"/>
      <name val="Aptos Display"/>
      <family val="2"/>
    </font>
    <font>
      <sz val="11"/>
      <color rgb="FF767DAE"/>
      <name val="Aptos Display"/>
      <family val="2"/>
    </font>
    <font>
      <sz val="9"/>
      <color indexed="81"/>
      <name val="Tahoma"/>
      <family val="2"/>
    </font>
    <font>
      <b/>
      <sz val="9"/>
      <color indexed="81"/>
      <name val="Tahoma"/>
      <family val="2"/>
    </font>
    <font>
      <b/>
      <sz val="13"/>
      <color rgb="FFFFFFFF"/>
      <name val="Aptos Display"/>
      <family val="2"/>
    </font>
    <font>
      <b/>
      <sz val="9"/>
      <name val="Aptos Display"/>
      <family val="2"/>
    </font>
    <font>
      <i/>
      <sz val="8"/>
      <color rgb="FF767DAE"/>
      <name val="Aptos Display"/>
      <family val="2"/>
    </font>
    <font>
      <i/>
      <sz val="8"/>
      <name val="Aptos Display"/>
      <family val="2"/>
    </font>
    <font>
      <sz val="8"/>
      <name val="Aptos Display"/>
      <family val="2"/>
    </font>
    <font>
      <b/>
      <sz val="12"/>
      <name val="Aptos Display"/>
      <family val="2"/>
    </font>
    <font>
      <b/>
      <sz val="11"/>
      <name val="Aptos Display"/>
      <family val="2"/>
    </font>
    <font>
      <b/>
      <u/>
      <sz val="11"/>
      <color rgb="FF1F3864"/>
      <name val="Aptos Display"/>
      <family val="2"/>
    </font>
    <font>
      <b/>
      <sz val="9"/>
      <color rgb="FF6B4C12"/>
      <name val="Aptos Display"/>
      <family val="2"/>
    </font>
    <font>
      <b/>
      <sz val="11"/>
      <color theme="1"/>
      <name val="Aptos Display"/>
      <family val="2"/>
    </font>
    <font>
      <sz val="11"/>
      <color rgb="FF0000FF"/>
      <name val="Aptos Display"/>
      <family val="2"/>
    </font>
    <font>
      <sz val="10"/>
      <color rgb="FFFFFFFF"/>
      <name val="Aptos Display"/>
      <family val="2"/>
    </font>
    <font>
      <b/>
      <sz val="17"/>
      <color rgb="FFFFFFFF"/>
      <name val="Aptos Display"/>
      <family val="2"/>
    </font>
    <font>
      <sz val="9.5"/>
      <color rgb="FF9BA8D4"/>
      <name val="Aptos Display"/>
      <family val="2"/>
    </font>
    <font>
      <b/>
      <sz val="8.5"/>
      <color theme="0"/>
      <name val="Aptos Display"/>
      <family val="2"/>
    </font>
    <font>
      <sz val="11"/>
      <color theme="0"/>
      <name val="Aptos Display"/>
      <family val="2"/>
    </font>
    <font>
      <b/>
      <sz val="20"/>
      <color rgb="FFFFFFFF"/>
      <name val="Aptos Display"/>
      <family val="2"/>
    </font>
    <font>
      <b/>
      <sz val="12"/>
      <color rgb="FFFFFFFF"/>
      <name val="Aptos Display"/>
      <family val="2"/>
    </font>
    <font>
      <sz val="8.5"/>
      <color rgb="FF6B7AB0"/>
      <name val="Aptos Display"/>
      <family val="2"/>
    </font>
    <font>
      <sz val="11"/>
      <color rgb="FF9BA8D4"/>
      <name val="Aptos Display"/>
      <family val="2"/>
    </font>
    <font>
      <sz val="11"/>
      <color rgb="FFFFFFFF"/>
      <name val="Aptos Display"/>
      <family val="2"/>
    </font>
    <font>
      <b/>
      <sz val="11"/>
      <color rgb="FFFFFFFF"/>
      <name val="Aptos Display"/>
      <family val="2"/>
    </font>
    <font>
      <sz val="9.5"/>
      <name val="Aptos Display"/>
      <family val="2"/>
    </font>
    <font>
      <b/>
      <sz val="12"/>
      <color theme="0"/>
      <name val="Aptos Display"/>
      <family val="2"/>
    </font>
    <font>
      <sz val="12"/>
      <color theme="0"/>
      <name val="Aptos Display"/>
      <family val="2"/>
    </font>
    <font>
      <sz val="10"/>
      <color theme="0"/>
      <name val="Aptos Display"/>
      <family val="2"/>
    </font>
    <font>
      <b/>
      <sz val="11"/>
      <color theme="0"/>
      <name val="Aptos Display"/>
      <family val="2"/>
    </font>
    <font>
      <b/>
      <sz val="9.5"/>
      <color theme="0"/>
      <name val="Aptos Display"/>
      <family val="2"/>
    </font>
    <font>
      <b/>
      <sz val="9.5"/>
      <color rgb="FF9BA8D4"/>
      <name val="Aptos Display"/>
      <family val="2"/>
    </font>
    <font>
      <b/>
      <sz val="10"/>
      <color rgb="FFFFFFFF"/>
      <name val="Aptos Display"/>
      <family val="2"/>
    </font>
    <font>
      <sz val="11"/>
      <color rgb="FF000000"/>
      <name val="Aptos Display"/>
      <family val="2"/>
    </font>
    <font>
      <b/>
      <sz val="10"/>
      <color rgb="FF000000"/>
      <name val="Aptos Display"/>
      <family val="2"/>
    </font>
    <font>
      <b/>
      <sz val="9"/>
      <color rgb="FF000000"/>
      <name val="Aptos Display"/>
      <family val="2"/>
    </font>
  </fonts>
  <fills count="26">
    <fill>
      <patternFill patternType="none"/>
    </fill>
    <fill>
      <patternFill patternType="gray125"/>
    </fill>
    <fill>
      <patternFill patternType="solid">
        <fgColor rgb="FF1F3864"/>
        <bgColor rgb="FF333399"/>
      </patternFill>
    </fill>
    <fill>
      <patternFill patternType="solid">
        <fgColor rgb="FFDCE6F2"/>
        <bgColor rgb="FFE4EAF5"/>
      </patternFill>
    </fill>
    <fill>
      <patternFill patternType="solid">
        <fgColor rgb="FFFFFF00"/>
        <bgColor rgb="FFFFFF00"/>
      </patternFill>
    </fill>
    <fill>
      <patternFill patternType="solid">
        <fgColor rgb="FFEAF1FC"/>
        <bgColor rgb="FFF2F5FA"/>
      </patternFill>
    </fill>
    <fill>
      <patternFill patternType="solid">
        <fgColor rgb="FFFFF8E6"/>
        <bgColor rgb="FFF7F9FC"/>
      </patternFill>
    </fill>
    <fill>
      <patternFill patternType="solid">
        <fgColor rgb="FFF7F9FC"/>
        <bgColor rgb="FFF2F5FA"/>
      </patternFill>
    </fill>
    <fill>
      <patternFill patternType="solid">
        <fgColor rgb="FFFFFF00"/>
      </patternFill>
    </fill>
    <fill>
      <patternFill patternType="solid">
        <fgColor rgb="FF070E33"/>
      </patternFill>
    </fill>
    <fill>
      <patternFill patternType="solid">
        <fgColor rgb="FF111C52"/>
      </patternFill>
    </fill>
    <fill>
      <patternFill patternType="solid">
        <fgColor rgb="FF00D9B2"/>
      </patternFill>
    </fill>
    <fill>
      <patternFill patternType="solid">
        <fgColor rgb="FF4C8DFF"/>
      </patternFill>
    </fill>
    <fill>
      <patternFill patternType="solid">
        <fgColor rgb="FFFFB020"/>
      </patternFill>
    </fill>
    <fill>
      <patternFill patternType="solid">
        <fgColor rgb="FFA98BFA"/>
      </patternFill>
    </fill>
    <fill>
      <patternFill patternType="solid">
        <fgColor rgb="FF38BDF8"/>
      </patternFill>
    </fill>
    <fill>
      <patternFill patternType="solid">
        <fgColor rgb="FFFF5A6A"/>
      </patternFill>
    </fill>
    <fill>
      <patternFill patternType="solid">
        <fgColor rgb="FF3DD68C"/>
      </patternFill>
    </fill>
    <fill>
      <patternFill patternType="solid">
        <fgColor rgb="FFF472B6"/>
      </patternFill>
    </fill>
    <fill>
      <patternFill patternType="solid">
        <fgColor rgb="FF1A2761"/>
      </patternFill>
    </fill>
    <fill>
      <patternFill patternType="solid">
        <fgColor rgb="FF0D1743"/>
      </patternFill>
    </fill>
    <fill>
      <patternFill patternType="solid">
        <fgColor theme="4" tint="0.79998168889431442"/>
        <bgColor indexed="64"/>
      </patternFill>
    </fill>
    <fill>
      <patternFill patternType="solid">
        <fgColor rgb="FF92D050"/>
        <bgColor indexed="64"/>
      </patternFill>
    </fill>
    <fill>
      <patternFill patternType="solid">
        <fgColor theme="0"/>
        <bgColor indexed="64"/>
      </patternFill>
    </fill>
    <fill>
      <patternFill patternType="solid">
        <fgColor theme="0" tint="-4.9989318521683403E-2"/>
        <bgColor indexed="64"/>
      </patternFill>
    </fill>
    <fill>
      <patternFill patternType="solid">
        <fgColor rgb="FFDCE6F2"/>
        <bgColor indexed="64"/>
      </patternFill>
    </fill>
  </fills>
  <borders count="22">
    <border>
      <left/>
      <right/>
      <top/>
      <bottom/>
      <diagonal/>
    </border>
    <border>
      <left/>
      <right/>
      <top/>
      <bottom style="thin">
        <color rgb="FFD5DCEA"/>
      </bottom>
      <diagonal/>
    </border>
    <border>
      <left style="thin">
        <color rgb="FFD5DCEA"/>
      </left>
      <right style="thin">
        <color rgb="FFD5DCEA"/>
      </right>
      <top style="thin">
        <color rgb="FFD5DCEA"/>
      </top>
      <bottom style="thin">
        <color rgb="FFD5DCEA"/>
      </bottom>
      <diagonal/>
    </border>
    <border>
      <left/>
      <right/>
      <top/>
      <bottom style="thin">
        <color rgb="FFD5DCEA"/>
      </bottom>
      <diagonal/>
    </border>
    <border>
      <left/>
      <right/>
      <top/>
      <bottom/>
      <diagonal/>
    </border>
    <border>
      <left style="thin">
        <color rgb="FF23306E"/>
      </left>
      <right/>
      <top style="thin">
        <color rgb="FF23306E"/>
      </top>
      <bottom/>
      <diagonal/>
    </border>
    <border>
      <left/>
      <right style="thin">
        <color rgb="FF23306E"/>
      </right>
      <top style="thin">
        <color rgb="FF23306E"/>
      </top>
      <bottom/>
      <diagonal/>
    </border>
    <border>
      <left style="thin">
        <color rgb="FF23306E"/>
      </left>
      <right/>
      <top/>
      <bottom/>
      <diagonal/>
    </border>
    <border>
      <left/>
      <right style="thin">
        <color rgb="FF23306E"/>
      </right>
      <top/>
      <bottom/>
      <diagonal/>
    </border>
    <border>
      <left style="thin">
        <color rgb="FF23306E"/>
      </left>
      <right/>
      <top/>
      <bottom style="thin">
        <color rgb="FF23306E"/>
      </bottom>
      <diagonal/>
    </border>
    <border>
      <left/>
      <right style="thin">
        <color rgb="FF23306E"/>
      </right>
      <top/>
      <bottom style="thin">
        <color rgb="FF23306E"/>
      </bottom>
      <diagonal/>
    </border>
    <border>
      <left/>
      <right/>
      <top style="thin">
        <color rgb="FF23306E"/>
      </top>
      <bottom/>
      <diagonal/>
    </border>
    <border>
      <left/>
      <right/>
      <top/>
      <bottom style="thin">
        <color rgb="FF23306E"/>
      </bottom>
      <diagonal/>
    </border>
    <border>
      <left/>
      <right style="thin">
        <color rgb="FF23306E"/>
      </right>
      <top/>
      <bottom/>
      <diagonal/>
    </border>
    <border>
      <left/>
      <right/>
      <top style="thin">
        <color rgb="FF23306E"/>
      </top>
      <bottom/>
      <diagonal/>
    </border>
    <border>
      <left/>
      <right style="thin">
        <color rgb="FF23306E"/>
      </right>
      <top style="thin">
        <color rgb="FF23306E"/>
      </top>
      <bottom/>
      <diagonal/>
    </border>
    <border>
      <left style="thin">
        <color rgb="FF23306E"/>
      </left>
      <right style="thin">
        <color rgb="FF23306E"/>
      </right>
      <top/>
      <bottom/>
      <diagonal/>
    </border>
    <border>
      <left style="thin">
        <color rgb="FF23306E"/>
      </left>
      <right style="thin">
        <color rgb="FF23306E"/>
      </right>
      <top/>
      <bottom style="thin">
        <color rgb="FF23306E"/>
      </bottom>
      <diagonal/>
    </border>
    <border>
      <left/>
      <right style="thin">
        <color rgb="FF23306E"/>
      </right>
      <top/>
      <bottom style="thin">
        <color rgb="FF23306E"/>
      </bottom>
      <diagonal/>
    </border>
    <border>
      <left/>
      <right/>
      <top/>
      <bottom style="thin">
        <color rgb="FF23306E"/>
      </bottom>
      <diagonal/>
    </border>
    <border>
      <left/>
      <right/>
      <top/>
      <bottom style="thin">
        <color rgb="FFD5DCEA"/>
      </bottom>
      <diagonal/>
    </border>
    <border>
      <left/>
      <right/>
      <top style="thin">
        <color rgb="FFD5DCEA"/>
      </top>
      <bottom/>
      <diagonal/>
    </border>
  </borders>
  <cellStyleXfs count="1">
    <xf numFmtId="0" fontId="0" fillId="0" borderId="0"/>
  </cellStyleXfs>
  <cellXfs count="237">
    <xf numFmtId="0" fontId="0" fillId="0" borderId="0" xfId="0"/>
    <xf numFmtId="0" fontId="30" fillId="9" borderId="4" xfId="0" applyFont="1" applyFill="1" applyBorder="1" applyAlignment="1" applyProtection="1">
      <alignment vertical="center"/>
      <protection locked="0"/>
    </xf>
    <xf numFmtId="0" fontId="2" fillId="0" borderId="0" xfId="0" applyFont="1" applyProtection="1">
      <protection locked="0"/>
    </xf>
    <xf numFmtId="0" fontId="31" fillId="9" borderId="4" xfId="0" applyFont="1" applyFill="1" applyBorder="1" applyAlignment="1" applyProtection="1">
      <alignment vertical="center"/>
      <protection locked="0"/>
    </xf>
    <xf numFmtId="0" fontId="2" fillId="0" borderId="0" xfId="0" applyFont="1" applyProtection="1">
      <protection locked="0"/>
    </xf>
    <xf numFmtId="0" fontId="46" fillId="9" borderId="4" xfId="0" applyFont="1" applyFill="1" applyBorder="1" applyAlignment="1" applyProtection="1">
      <alignment vertical="center"/>
      <protection locked="0"/>
    </xf>
    <xf numFmtId="0" fontId="45" fillId="0" borderId="0" xfId="0" applyFont="1" applyProtection="1">
      <protection locked="0"/>
    </xf>
    <xf numFmtId="0" fontId="42" fillId="9" borderId="4" xfId="0" applyFont="1" applyFill="1" applyBorder="1" applyAlignment="1" applyProtection="1">
      <alignment vertical="center"/>
      <protection locked="0"/>
    </xf>
    <xf numFmtId="0" fontId="43" fillId="0" borderId="0" xfId="0" applyFont="1" applyProtection="1">
      <protection locked="0"/>
    </xf>
    <xf numFmtId="0" fontId="30" fillId="11" borderId="5" xfId="0" applyFont="1" applyFill="1" applyBorder="1" applyAlignment="1" applyProtection="1">
      <alignment vertical="center"/>
      <protection locked="0"/>
    </xf>
    <xf numFmtId="0" fontId="30" fillId="11" borderId="6" xfId="0" applyFont="1" applyFill="1" applyBorder="1" applyAlignment="1" applyProtection="1">
      <alignment vertical="center"/>
      <protection locked="0"/>
    </xf>
    <xf numFmtId="0" fontId="30" fillId="16" borderId="5" xfId="0" applyFont="1" applyFill="1" applyBorder="1" applyAlignment="1" applyProtection="1">
      <alignment vertical="center"/>
      <protection locked="0"/>
    </xf>
    <xf numFmtId="0" fontId="30" fillId="16" borderId="11" xfId="0" applyFont="1" applyFill="1" applyBorder="1" applyAlignment="1" applyProtection="1">
      <alignment vertical="center"/>
      <protection locked="0"/>
    </xf>
    <xf numFmtId="0" fontId="30" fillId="16" borderId="6" xfId="0" applyFont="1" applyFill="1" applyBorder="1" applyAlignment="1" applyProtection="1">
      <alignment vertical="center"/>
      <protection locked="0"/>
    </xf>
    <xf numFmtId="0" fontId="30" fillId="13" borderId="5" xfId="0" applyFont="1" applyFill="1" applyBorder="1" applyAlignment="1" applyProtection="1">
      <alignment vertical="center"/>
      <protection locked="0"/>
    </xf>
    <xf numFmtId="0" fontId="30" fillId="13" borderId="6" xfId="0" applyFont="1" applyFill="1" applyBorder="1" applyAlignment="1" applyProtection="1">
      <alignment vertical="center"/>
      <protection locked="0"/>
    </xf>
    <xf numFmtId="0" fontId="30" fillId="14" borderId="5" xfId="0" applyFont="1" applyFill="1" applyBorder="1" applyAlignment="1" applyProtection="1">
      <alignment vertical="center"/>
      <protection locked="0"/>
    </xf>
    <xf numFmtId="0" fontId="30" fillId="14" borderId="6" xfId="0" applyFont="1" applyFill="1" applyBorder="1" applyAlignment="1" applyProtection="1">
      <alignment vertical="center"/>
      <protection locked="0"/>
    </xf>
    <xf numFmtId="0" fontId="33" fillId="12" borderId="5" xfId="0" applyFont="1" applyFill="1" applyBorder="1" applyAlignment="1" applyProtection="1">
      <alignment horizontal="center" vertical="center"/>
      <protection locked="0"/>
    </xf>
    <xf numFmtId="0" fontId="34" fillId="0" borderId="14" xfId="0" applyFont="1" applyBorder="1" applyProtection="1">
      <protection locked="0"/>
    </xf>
    <xf numFmtId="0" fontId="33" fillId="12" borderId="14" xfId="0" applyFont="1" applyFill="1" applyBorder="1" applyAlignment="1" applyProtection="1">
      <alignment horizontal="center" vertical="center"/>
      <protection locked="0"/>
    </xf>
    <xf numFmtId="0" fontId="33" fillId="12" borderId="15" xfId="0" applyFont="1" applyFill="1" applyBorder="1" applyAlignment="1" applyProtection="1">
      <alignment horizontal="center" vertical="center"/>
      <protection locked="0"/>
    </xf>
    <xf numFmtId="0" fontId="2" fillId="0" borderId="18" xfId="0" applyFont="1" applyBorder="1" applyProtection="1">
      <protection locked="0"/>
    </xf>
    <xf numFmtId="0" fontId="2" fillId="0" borderId="19" xfId="0" applyFont="1" applyBorder="1" applyProtection="1">
      <protection locked="0"/>
    </xf>
    <xf numFmtId="0" fontId="30" fillId="11" borderId="11" xfId="0" applyFont="1" applyFill="1" applyBorder="1" applyAlignment="1" applyProtection="1">
      <alignment vertical="center"/>
      <protection locked="0"/>
    </xf>
    <xf numFmtId="0" fontId="30" fillId="10" borderId="7" xfId="0" applyFont="1" applyFill="1" applyBorder="1" applyAlignment="1" applyProtection="1">
      <alignment vertical="center"/>
      <protection locked="0"/>
    </xf>
    <xf numFmtId="0" fontId="30" fillId="10" borderId="4" xfId="0" applyFont="1" applyFill="1" applyBorder="1" applyAlignment="1" applyProtection="1">
      <alignment vertical="center"/>
      <protection locked="0"/>
    </xf>
    <xf numFmtId="0" fontId="30" fillId="10" borderId="8" xfId="0" applyFont="1" applyFill="1" applyBorder="1" applyAlignment="1" applyProtection="1">
      <alignment vertical="center"/>
      <protection locked="0"/>
    </xf>
    <xf numFmtId="0" fontId="45" fillId="19" borderId="12" xfId="0" applyFont="1" applyFill="1" applyBorder="1" applyAlignment="1" applyProtection="1">
      <alignment horizontal="left" vertical="center" wrapText="1"/>
      <protection locked="0"/>
    </xf>
    <xf numFmtId="0" fontId="45" fillId="19" borderId="12" xfId="0" applyFont="1" applyFill="1" applyBorder="1" applyAlignment="1" applyProtection="1">
      <alignment horizontal="center" vertical="center" wrapText="1"/>
      <protection locked="0"/>
    </xf>
    <xf numFmtId="0" fontId="45" fillId="19" borderId="19" xfId="0" applyFont="1" applyFill="1" applyBorder="1" applyAlignment="1" applyProtection="1">
      <alignment horizontal="center" vertical="center" wrapText="1"/>
      <protection locked="0"/>
    </xf>
    <xf numFmtId="0" fontId="2" fillId="0" borderId="0" xfId="0" applyFont="1" applyAlignment="1" applyProtection="1">
      <alignment vertical="center"/>
      <protection locked="0"/>
    </xf>
    <xf numFmtId="0" fontId="15" fillId="23" borderId="7" xfId="0" applyFont="1" applyFill="1" applyBorder="1" applyAlignment="1" applyProtection="1">
      <alignment horizontal="left" vertical="center"/>
      <protection locked="0"/>
    </xf>
    <xf numFmtId="166" fontId="15" fillId="0" borderId="14" xfId="0" applyNumberFormat="1" applyFont="1" applyBorder="1" applyAlignment="1" applyProtection="1">
      <alignment horizontal="center" vertical="center"/>
      <protection locked="0"/>
    </xf>
    <xf numFmtId="0" fontId="34" fillId="10" borderId="14" xfId="0" applyFont="1" applyFill="1" applyBorder="1" applyAlignment="1" applyProtection="1">
      <alignment horizontal="center" vertical="center" wrapText="1"/>
      <protection locked="0"/>
    </xf>
    <xf numFmtId="0" fontId="34" fillId="10" borderId="15" xfId="0" applyFont="1" applyFill="1" applyBorder="1" applyAlignment="1" applyProtection="1">
      <alignment horizontal="center" vertical="center" wrapText="1"/>
      <protection locked="0"/>
    </xf>
    <xf numFmtId="0" fontId="15" fillId="24" borderId="7" xfId="0" applyFont="1" applyFill="1" applyBorder="1" applyAlignment="1" applyProtection="1">
      <alignment horizontal="left" vertical="center"/>
      <protection locked="0"/>
    </xf>
    <xf numFmtId="166" fontId="15" fillId="24" borderId="4" xfId="0" applyNumberFormat="1" applyFont="1" applyFill="1" applyBorder="1" applyAlignment="1" applyProtection="1">
      <alignment horizontal="center" vertical="center"/>
      <protection locked="0"/>
    </xf>
    <xf numFmtId="0" fontId="34" fillId="10" borderId="4" xfId="0" applyFont="1" applyFill="1" applyBorder="1" applyAlignment="1" applyProtection="1">
      <alignment horizontal="center" vertical="center" wrapText="1"/>
      <protection locked="0"/>
    </xf>
    <xf numFmtId="0" fontId="34" fillId="10" borderId="13" xfId="0" applyFont="1" applyFill="1" applyBorder="1" applyAlignment="1" applyProtection="1">
      <alignment horizontal="center" vertical="center" wrapText="1"/>
      <protection locked="0"/>
    </xf>
    <xf numFmtId="166" fontId="15" fillId="23" borderId="4" xfId="0" applyNumberFormat="1" applyFont="1" applyFill="1" applyBorder="1" applyAlignment="1" applyProtection="1">
      <alignment horizontal="center" vertical="center"/>
      <protection locked="0"/>
    </xf>
    <xf numFmtId="0" fontId="30" fillId="10" borderId="9" xfId="0" applyFont="1" applyFill="1" applyBorder="1" applyAlignment="1" applyProtection="1">
      <alignment vertical="center"/>
      <protection locked="0"/>
    </xf>
    <xf numFmtId="0" fontId="30" fillId="10" borderId="12" xfId="0" applyFont="1" applyFill="1" applyBorder="1" applyAlignment="1" applyProtection="1">
      <alignment vertical="center"/>
      <protection locked="0"/>
    </xf>
    <xf numFmtId="0" fontId="30" fillId="10" borderId="10" xfId="0" applyFont="1" applyFill="1" applyBorder="1" applyAlignment="1" applyProtection="1">
      <alignment vertical="center"/>
      <protection locked="0"/>
    </xf>
    <xf numFmtId="0" fontId="30" fillId="15" borderId="5" xfId="0" applyFont="1" applyFill="1" applyBorder="1" applyAlignment="1" applyProtection="1">
      <alignment vertical="center"/>
      <protection locked="0"/>
    </xf>
    <xf numFmtId="0" fontId="30" fillId="15" borderId="6" xfId="0" applyFont="1" applyFill="1" applyBorder="1" applyAlignment="1" applyProtection="1">
      <alignment vertical="center"/>
      <protection locked="0"/>
    </xf>
    <xf numFmtId="0" fontId="30" fillId="17" borderId="5" xfId="0" applyFont="1" applyFill="1" applyBorder="1" applyAlignment="1" applyProtection="1">
      <alignment vertical="center"/>
      <protection locked="0"/>
    </xf>
    <xf numFmtId="0" fontId="30" fillId="17" borderId="6" xfId="0" applyFont="1" applyFill="1" applyBorder="1" applyAlignment="1" applyProtection="1">
      <alignment vertical="center"/>
      <protection locked="0"/>
    </xf>
    <xf numFmtId="0" fontId="30" fillId="18" borderId="5" xfId="0" applyFont="1" applyFill="1" applyBorder="1" applyAlignment="1" applyProtection="1">
      <alignment vertical="center"/>
      <protection locked="0"/>
    </xf>
    <xf numFmtId="0" fontId="30" fillId="18" borderId="6" xfId="0" applyFont="1" applyFill="1" applyBorder="1" applyAlignment="1" applyProtection="1">
      <alignment vertical="center"/>
      <protection locked="0"/>
    </xf>
    <xf numFmtId="0" fontId="33" fillId="12" borderId="11" xfId="0" applyFont="1" applyFill="1" applyBorder="1" applyAlignment="1" applyProtection="1">
      <alignment horizontal="center" vertical="center"/>
      <protection locked="0"/>
    </xf>
    <xf numFmtId="0" fontId="33" fillId="12" borderId="6" xfId="0" applyFont="1" applyFill="1" applyBorder="1" applyAlignment="1" applyProtection="1">
      <alignment horizontal="center" vertical="center"/>
      <protection locked="0"/>
    </xf>
    <xf numFmtId="0" fontId="34" fillId="0" borderId="15" xfId="0" applyFont="1" applyBorder="1" applyProtection="1">
      <protection locked="0"/>
    </xf>
    <xf numFmtId="0" fontId="2" fillId="0" borderId="13" xfId="0" applyFont="1" applyBorder="1" applyProtection="1">
      <protection locked="0"/>
    </xf>
    <xf numFmtId="0" fontId="15" fillId="23" borderId="7" xfId="0" applyFont="1" applyFill="1" applyBorder="1" applyAlignment="1" applyProtection="1">
      <alignment horizontal="left" vertical="center" indent="1"/>
      <protection locked="0"/>
    </xf>
    <xf numFmtId="0" fontId="41" fillId="23" borderId="4" xfId="0" applyFont="1" applyFill="1" applyBorder="1" applyAlignment="1" applyProtection="1">
      <alignment horizontal="left" vertical="center" indent="1"/>
      <protection locked="0"/>
    </xf>
    <xf numFmtId="0" fontId="15" fillId="24" borderId="7" xfId="0" applyFont="1" applyFill="1" applyBorder="1" applyAlignment="1" applyProtection="1">
      <alignment horizontal="left" vertical="center" indent="1"/>
      <protection locked="0"/>
    </xf>
    <xf numFmtId="0" fontId="41" fillId="24" borderId="4" xfId="0" applyFont="1" applyFill="1" applyBorder="1" applyAlignment="1" applyProtection="1">
      <alignment horizontal="left" vertical="center" indent="1"/>
      <protection locked="0"/>
    </xf>
    <xf numFmtId="0" fontId="34" fillId="10" borderId="19" xfId="0" applyFont="1" applyFill="1" applyBorder="1" applyAlignment="1" applyProtection="1">
      <alignment horizontal="center" vertical="center" wrapText="1"/>
      <protection locked="0"/>
    </xf>
    <xf numFmtId="0" fontId="34" fillId="10" borderId="18" xfId="0" applyFont="1" applyFill="1" applyBorder="1" applyAlignment="1" applyProtection="1">
      <alignment horizontal="center" vertical="center" wrapText="1"/>
      <protection locked="0"/>
    </xf>
    <xf numFmtId="0" fontId="30" fillId="13" borderId="11" xfId="0" applyFont="1" applyFill="1" applyBorder="1" applyAlignment="1" applyProtection="1">
      <alignment vertical="center"/>
      <protection locked="0"/>
    </xf>
    <xf numFmtId="0" fontId="36" fillId="10" borderId="16" xfId="0" applyFont="1" applyFill="1" applyBorder="1" applyAlignment="1" applyProtection="1">
      <alignment vertical="center" indent="1"/>
      <protection locked="0"/>
    </xf>
    <xf numFmtId="0" fontId="45" fillId="10" borderId="7" xfId="0" applyFont="1" applyFill="1" applyBorder="1" applyAlignment="1" applyProtection="1">
      <alignment horizontal="center" vertical="center"/>
      <protection locked="0"/>
    </xf>
    <xf numFmtId="0" fontId="45" fillId="10" borderId="4" xfId="0" applyFont="1" applyFill="1" applyBorder="1" applyAlignment="1" applyProtection="1">
      <alignment horizontal="center" vertical="center"/>
      <protection locked="0"/>
    </xf>
    <xf numFmtId="0" fontId="45" fillId="10" borderId="4" xfId="0" applyFont="1" applyFill="1" applyBorder="1" applyAlignment="1" applyProtection="1">
      <alignment horizontal="center" vertical="center" wrapText="1"/>
      <protection locked="0"/>
    </xf>
    <xf numFmtId="0" fontId="38" fillId="10" borderId="4" xfId="0" applyFont="1" applyFill="1" applyBorder="1" applyAlignment="1" applyProtection="1">
      <alignment horizontal="left" vertical="center" indent="1"/>
      <protection locked="0"/>
    </xf>
    <xf numFmtId="0" fontId="38" fillId="10" borderId="8" xfId="0" applyFont="1" applyFill="1" applyBorder="1" applyAlignment="1" applyProtection="1">
      <alignment horizontal="left" vertical="center" indent="1"/>
      <protection locked="0"/>
    </xf>
    <xf numFmtId="0" fontId="15" fillId="23" borderId="4" xfId="0" applyFont="1" applyFill="1" applyBorder="1" applyAlignment="1" applyProtection="1">
      <alignment horizontal="left" vertical="center" indent="1"/>
      <protection locked="0"/>
    </xf>
    <xf numFmtId="0" fontId="15" fillId="23" borderId="8" xfId="0" applyFont="1" applyFill="1" applyBorder="1" applyAlignment="1" applyProtection="1">
      <alignment horizontal="left" vertical="center" indent="1"/>
      <protection locked="0"/>
    </xf>
    <xf numFmtId="0" fontId="40" fillId="19" borderId="11" xfId="0" applyFont="1" applyFill="1" applyBorder="1" applyAlignment="1" applyProtection="1">
      <alignment horizontal="left" vertical="center" indent="1"/>
      <protection locked="0"/>
    </xf>
    <xf numFmtId="0" fontId="44" fillId="10" borderId="16" xfId="0" applyFont="1" applyFill="1" applyBorder="1" applyAlignment="1" applyProtection="1">
      <alignment vertical="center" wrapText="1" indent="1"/>
      <protection locked="0"/>
    </xf>
    <xf numFmtId="0" fontId="44" fillId="0" borderId="0" xfId="0" applyFont="1" applyProtection="1">
      <protection locked="0"/>
    </xf>
    <xf numFmtId="0" fontId="44" fillId="0" borderId="13" xfId="0" applyFont="1" applyBorder="1" applyProtection="1">
      <protection locked="0"/>
    </xf>
    <xf numFmtId="0" fontId="30" fillId="14" borderId="11" xfId="0" applyFont="1" applyFill="1" applyBorder="1" applyAlignment="1" applyProtection="1">
      <alignment vertical="center"/>
      <protection locked="0"/>
    </xf>
    <xf numFmtId="0" fontId="36" fillId="10" borderId="7" xfId="0" applyFont="1" applyFill="1" applyBorder="1" applyAlignment="1" applyProtection="1">
      <alignment horizontal="left" vertical="center" indent="1"/>
      <protection locked="0"/>
    </xf>
    <xf numFmtId="0" fontId="36" fillId="10" borderId="4" xfId="0" applyFont="1" applyFill="1" applyBorder="1" applyAlignment="1" applyProtection="1">
      <alignment horizontal="left" vertical="center" indent="1"/>
      <protection locked="0"/>
    </xf>
    <xf numFmtId="0" fontId="32" fillId="10" borderId="4" xfId="0" applyFont="1" applyFill="1" applyBorder="1" applyAlignment="1" applyProtection="1">
      <alignment horizontal="left" vertical="center" indent="1"/>
      <protection locked="0"/>
    </xf>
    <xf numFmtId="0" fontId="43" fillId="10" borderId="4" xfId="0" applyFont="1" applyFill="1" applyBorder="1" applyAlignment="1" applyProtection="1">
      <alignment horizontal="left" vertical="center" indent="1"/>
      <protection locked="0"/>
    </xf>
    <xf numFmtId="0" fontId="32" fillId="10" borderId="8" xfId="0" applyFont="1" applyFill="1" applyBorder="1" applyAlignment="1" applyProtection="1">
      <alignment horizontal="left" vertical="center" indent="1"/>
      <protection locked="0"/>
    </xf>
    <xf numFmtId="0" fontId="45" fillId="20" borderId="7" xfId="0" applyFont="1" applyFill="1" applyBorder="1" applyAlignment="1" applyProtection="1">
      <alignment horizontal="left" vertical="center" indent="1"/>
      <protection locked="0"/>
    </xf>
    <xf numFmtId="0" fontId="45" fillId="20" borderId="4" xfId="0" applyFont="1" applyFill="1" applyBorder="1" applyAlignment="1" applyProtection="1">
      <alignment horizontal="left" vertical="center" indent="1"/>
      <protection locked="0"/>
    </xf>
    <xf numFmtId="0" fontId="45" fillId="20" borderId="4" xfId="0" applyFont="1" applyFill="1" applyBorder="1" applyAlignment="1" applyProtection="1">
      <alignment horizontal="center" vertical="center"/>
      <protection locked="0"/>
    </xf>
    <xf numFmtId="0" fontId="46" fillId="20" borderId="4" xfId="0" applyFont="1" applyFill="1" applyBorder="1" applyAlignment="1" applyProtection="1">
      <alignment horizontal="left" vertical="center" indent="1"/>
      <protection locked="0"/>
    </xf>
    <xf numFmtId="0" fontId="47" fillId="20" borderId="8" xfId="0" applyFont="1" applyFill="1" applyBorder="1" applyAlignment="1" applyProtection="1">
      <alignment horizontal="left" vertical="center" indent="1"/>
      <protection locked="0"/>
    </xf>
    <xf numFmtId="0" fontId="15" fillId="24" borderId="4" xfId="0" applyFont="1" applyFill="1" applyBorder="1" applyAlignment="1" applyProtection="1">
      <alignment horizontal="left" vertical="center" indent="1"/>
      <protection locked="0"/>
    </xf>
    <xf numFmtId="0" fontId="15" fillId="24" borderId="8" xfId="0" applyFont="1" applyFill="1" applyBorder="1" applyAlignment="1" applyProtection="1">
      <alignment horizontal="left" vertical="center" indent="1"/>
      <protection locked="0"/>
    </xf>
    <xf numFmtId="0" fontId="45" fillId="10" borderId="4" xfId="0" applyFont="1" applyFill="1" applyBorder="1" applyAlignment="1" applyProtection="1">
      <alignment horizontal="center" vertical="center" wrapText="1"/>
      <protection locked="0"/>
    </xf>
    <xf numFmtId="0" fontId="45" fillId="10" borderId="13" xfId="0" applyFont="1" applyFill="1" applyBorder="1" applyAlignment="1" applyProtection="1">
      <alignment horizontal="center" vertical="center" wrapText="1"/>
      <protection locked="0"/>
    </xf>
    <xf numFmtId="0" fontId="30" fillId="15" borderId="11" xfId="0" applyFont="1" applyFill="1" applyBorder="1" applyAlignment="1" applyProtection="1">
      <alignment vertical="center"/>
      <protection locked="0"/>
    </xf>
    <xf numFmtId="0" fontId="45" fillId="10" borderId="7" xfId="0" applyFont="1" applyFill="1" applyBorder="1" applyAlignment="1" applyProtection="1">
      <alignment horizontal="center" vertical="center"/>
      <protection locked="0"/>
    </xf>
    <xf numFmtId="0" fontId="45" fillId="10" borderId="4" xfId="0" applyFont="1" applyFill="1" applyBorder="1" applyAlignment="1" applyProtection="1">
      <alignment horizontal="center" vertical="center"/>
      <protection locked="0"/>
    </xf>
    <xf numFmtId="0" fontId="45" fillId="10" borderId="4" xfId="0" applyFont="1" applyFill="1" applyBorder="1" applyAlignment="1" applyProtection="1">
      <alignment horizontal="left" vertical="center" indent="1"/>
      <protection locked="0"/>
    </xf>
    <xf numFmtId="0" fontId="45" fillId="10" borderId="8" xfId="0" applyFont="1" applyFill="1" applyBorder="1" applyAlignment="1" applyProtection="1">
      <alignment horizontal="left" vertical="center" indent="1"/>
      <protection locked="0"/>
    </xf>
    <xf numFmtId="0" fontId="15" fillId="23" borderId="4" xfId="0" applyFont="1" applyFill="1" applyBorder="1" applyAlignment="1" applyProtection="1">
      <alignment horizontal="center" vertical="center"/>
      <protection locked="0"/>
    </xf>
    <xf numFmtId="0" fontId="15" fillId="24" borderId="4" xfId="0" applyFont="1" applyFill="1" applyBorder="1" applyAlignment="1" applyProtection="1">
      <alignment horizontal="center" vertical="center"/>
      <protection locked="0"/>
    </xf>
    <xf numFmtId="0" fontId="39" fillId="10" borderId="7" xfId="0" applyFont="1" applyFill="1" applyBorder="1" applyAlignment="1" applyProtection="1">
      <alignment horizontal="center" vertical="center"/>
      <protection locked="0"/>
    </xf>
    <xf numFmtId="0" fontId="39" fillId="10" borderId="4" xfId="0" applyFont="1" applyFill="1" applyBorder="1" applyAlignment="1" applyProtection="1">
      <alignment horizontal="center" vertical="center"/>
      <protection locked="0"/>
    </xf>
    <xf numFmtId="164" fontId="40" fillId="10" borderId="4" xfId="0" applyNumberFormat="1" applyFont="1" applyFill="1" applyBorder="1" applyAlignment="1" applyProtection="1">
      <alignment horizontal="right" vertical="center"/>
      <protection locked="0"/>
    </xf>
    <xf numFmtId="164" fontId="39" fillId="10" borderId="4" xfId="0" applyNumberFormat="1" applyFont="1" applyFill="1" applyBorder="1" applyAlignment="1" applyProtection="1">
      <alignment horizontal="right" vertical="center"/>
      <protection locked="0"/>
    </xf>
    <xf numFmtId="165" fontId="39" fillId="10" borderId="4" xfId="0" applyNumberFormat="1" applyFont="1" applyFill="1" applyBorder="1" applyAlignment="1" applyProtection="1">
      <alignment horizontal="right" vertical="center"/>
      <protection locked="0"/>
    </xf>
    <xf numFmtId="0" fontId="39" fillId="10" borderId="9" xfId="0" applyFont="1" applyFill="1" applyBorder="1" applyAlignment="1" applyProtection="1">
      <alignment horizontal="center" vertical="center"/>
      <protection locked="0"/>
    </xf>
    <xf numFmtId="0" fontId="39" fillId="10" borderId="19" xfId="0" applyFont="1" applyFill="1" applyBorder="1" applyAlignment="1" applyProtection="1">
      <alignment horizontal="center" vertical="center"/>
      <protection locked="0"/>
    </xf>
    <xf numFmtId="0" fontId="39" fillId="10" borderId="12" xfId="0" applyFont="1" applyFill="1" applyBorder="1" applyAlignment="1" applyProtection="1">
      <alignment vertical="center"/>
      <protection locked="0"/>
    </xf>
    <xf numFmtId="0" fontId="39" fillId="10" borderId="10" xfId="0" applyFont="1" applyFill="1" applyBorder="1" applyAlignment="1" applyProtection="1">
      <alignment vertical="center"/>
      <protection locked="0"/>
    </xf>
    <xf numFmtId="0" fontId="39" fillId="13" borderId="5" xfId="0" applyFont="1" applyFill="1" applyBorder="1" applyAlignment="1" applyProtection="1">
      <alignment vertical="center"/>
      <protection locked="0"/>
    </xf>
    <xf numFmtId="0" fontId="39" fillId="13" borderId="11" xfId="0" applyFont="1" applyFill="1" applyBorder="1" applyAlignment="1" applyProtection="1">
      <alignment vertical="center"/>
      <protection locked="0"/>
    </xf>
    <xf numFmtId="0" fontId="39" fillId="13" borderId="6" xfId="0" applyFont="1" applyFill="1" applyBorder="1" applyAlignment="1" applyProtection="1">
      <alignment vertical="center"/>
      <protection locked="0"/>
    </xf>
    <xf numFmtId="0" fontId="37" fillId="10" borderId="16" xfId="0" applyFont="1" applyFill="1" applyBorder="1" applyAlignment="1" applyProtection="1">
      <alignment vertical="center" indent="1"/>
      <protection locked="0"/>
    </xf>
    <xf numFmtId="0" fontId="2" fillId="15" borderId="5" xfId="0" applyFont="1" applyFill="1" applyBorder="1" applyProtection="1">
      <protection locked="0"/>
    </xf>
    <xf numFmtId="0" fontId="2" fillId="15" borderId="11" xfId="0" applyFont="1" applyFill="1" applyBorder="1" applyProtection="1">
      <protection locked="0"/>
    </xf>
    <xf numFmtId="0" fontId="2" fillId="15" borderId="6" xfId="0" applyFont="1" applyFill="1" applyBorder="1" applyProtection="1">
      <protection locked="0"/>
    </xf>
    <xf numFmtId="0" fontId="2" fillId="10" borderId="7" xfId="0" applyFont="1" applyFill="1" applyBorder="1" applyProtection="1">
      <protection locked="0"/>
    </xf>
    <xf numFmtId="0" fontId="2" fillId="10" borderId="4" xfId="0" applyFont="1" applyFill="1" applyBorder="1" applyProtection="1">
      <protection locked="0"/>
    </xf>
    <xf numFmtId="0" fontId="2" fillId="10" borderId="8" xfId="0" applyFont="1" applyFill="1" applyBorder="1" applyProtection="1">
      <protection locked="0"/>
    </xf>
    <xf numFmtId="0" fontId="2" fillId="10" borderId="9" xfId="0" applyFont="1" applyFill="1" applyBorder="1" applyProtection="1">
      <protection locked="0"/>
    </xf>
    <xf numFmtId="0" fontId="2" fillId="10" borderId="12" xfId="0" applyFont="1" applyFill="1" applyBorder="1" applyProtection="1">
      <protection locked="0"/>
    </xf>
    <xf numFmtId="0" fontId="2" fillId="10" borderId="10" xfId="0" applyFont="1" applyFill="1" applyBorder="1" applyProtection="1">
      <protection locked="0"/>
    </xf>
    <xf numFmtId="0" fontId="48" fillId="9" borderId="4" xfId="0" applyFont="1" applyFill="1" applyBorder="1" applyAlignment="1" applyProtection="1">
      <alignment horizontal="center" vertical="center"/>
      <protection locked="0"/>
    </xf>
    <xf numFmtId="0" fontId="1" fillId="2" borderId="0" xfId="0" applyFont="1" applyFill="1" applyAlignment="1" applyProtection="1">
      <alignment horizontal="left" vertical="center" indent="1"/>
      <protection locked="0"/>
    </xf>
    <xf numFmtId="0" fontId="2" fillId="0" borderId="0" xfId="0" applyFont="1" applyAlignment="1" applyProtection="1">
      <alignment horizontal="left" vertical="center" indent="1"/>
      <protection locked="0"/>
    </xf>
    <xf numFmtId="0" fontId="14" fillId="21" borderId="0" xfId="0" applyFont="1" applyFill="1" applyAlignment="1" applyProtection="1">
      <alignment horizontal="left" vertical="center" indent="1"/>
      <protection locked="0"/>
    </xf>
    <xf numFmtId="0" fontId="15" fillId="21" borderId="0" xfId="0" applyFont="1" applyFill="1" applyAlignment="1" applyProtection="1">
      <alignment horizontal="left" vertical="center" indent="1"/>
      <protection locked="0"/>
    </xf>
    <xf numFmtId="0" fontId="24" fillId="22" borderId="0" xfId="0" applyFont="1" applyFill="1" applyAlignment="1" applyProtection="1">
      <alignment horizontal="center" vertical="center" wrapText="1"/>
      <protection locked="0"/>
    </xf>
    <xf numFmtId="0" fontId="24" fillId="22" borderId="0" xfId="0" applyFont="1" applyFill="1" applyAlignment="1" applyProtection="1">
      <alignment horizontal="center" vertical="center"/>
      <protection locked="0"/>
    </xf>
    <xf numFmtId="0" fontId="26" fillId="0" borderId="0" xfId="0" applyFont="1" applyAlignment="1" applyProtection="1">
      <alignment vertical="center"/>
      <protection locked="0"/>
    </xf>
    <xf numFmtId="0" fontId="25" fillId="0" borderId="0" xfId="0" applyFont="1" applyAlignment="1" applyProtection="1">
      <alignment vertical="center"/>
      <protection locked="0"/>
    </xf>
    <xf numFmtId="0" fontId="15" fillId="0" borderId="0" xfId="0" applyFont="1" applyAlignment="1" applyProtection="1">
      <alignment vertical="center"/>
      <protection locked="0"/>
    </xf>
    <xf numFmtId="0" fontId="15" fillId="0" borderId="0" xfId="0" applyFont="1" applyAlignment="1" applyProtection="1">
      <alignment vertical="center" wrapText="1"/>
      <protection locked="0"/>
    </xf>
    <xf numFmtId="168" fontId="29" fillId="4" borderId="2" xfId="0" applyNumberFormat="1" applyFont="1" applyFill="1" applyBorder="1" applyAlignment="1" applyProtection="1">
      <alignment horizontal="center" vertical="center"/>
      <protection locked="0"/>
    </xf>
    <xf numFmtId="169" fontId="29" fillId="4" borderId="2" xfId="0" applyNumberFormat="1" applyFont="1" applyFill="1" applyBorder="1" applyAlignment="1" applyProtection="1">
      <alignment horizontal="center" vertical="center"/>
      <protection locked="0"/>
    </xf>
    <xf numFmtId="165" fontId="29" fillId="4" borderId="2" xfId="0" applyNumberFormat="1" applyFont="1" applyFill="1" applyBorder="1" applyAlignment="1" applyProtection="1">
      <alignment horizontal="center" vertical="center"/>
      <protection locked="0"/>
    </xf>
    <xf numFmtId="166" fontId="29" fillId="4" borderId="2" xfId="0" applyNumberFormat="1" applyFont="1" applyFill="1" applyBorder="1" applyAlignment="1" applyProtection="1">
      <alignment horizontal="center" vertical="center"/>
      <protection locked="0"/>
    </xf>
    <xf numFmtId="0" fontId="7" fillId="4" borderId="2" xfId="0" applyFont="1" applyFill="1" applyBorder="1" applyAlignment="1" applyProtection="1">
      <alignment vertical="center"/>
      <protection locked="0"/>
    </xf>
    <xf numFmtId="0" fontId="4" fillId="5" borderId="2" xfId="0" applyFont="1" applyFill="1" applyBorder="1" applyAlignment="1" applyProtection="1">
      <alignment vertical="center"/>
      <protection locked="0"/>
    </xf>
    <xf numFmtId="0" fontId="4" fillId="0" borderId="2" xfId="0" applyFont="1" applyBorder="1" applyAlignment="1" applyProtection="1">
      <alignment vertical="center"/>
      <protection locked="0"/>
    </xf>
    <xf numFmtId="0" fontId="27" fillId="6" borderId="0" xfId="0" applyFont="1" applyFill="1" applyAlignment="1" applyProtection="1">
      <alignment vertical="center" wrapText="1"/>
      <protection locked="0"/>
    </xf>
    <xf numFmtId="0" fontId="28" fillId="0" borderId="0" xfId="0" applyFont="1" applyAlignment="1" applyProtection="1">
      <alignment vertical="center"/>
      <protection locked="0"/>
    </xf>
    <xf numFmtId="0" fontId="19" fillId="2" borderId="0" xfId="0" applyFont="1" applyFill="1" applyAlignment="1" applyProtection="1">
      <alignment horizontal="left" vertical="center" indent="1"/>
      <protection locked="0"/>
    </xf>
    <xf numFmtId="0" fontId="22" fillId="21" borderId="0" xfId="0" applyFont="1" applyFill="1" applyAlignment="1" applyProtection="1">
      <alignment horizontal="left" vertical="center" indent="1"/>
      <protection locked="0"/>
    </xf>
    <xf numFmtId="0" fontId="23" fillId="21" borderId="0" xfId="0" applyFont="1" applyFill="1" applyAlignment="1" applyProtection="1">
      <alignment horizontal="left" vertical="center" indent="1"/>
      <protection locked="0"/>
    </xf>
    <xf numFmtId="0" fontId="3" fillId="0" borderId="0" xfId="0" applyFont="1" applyAlignment="1" applyProtection="1">
      <alignment vertical="center"/>
      <protection locked="0"/>
    </xf>
    <xf numFmtId="0" fontId="11" fillId="2" borderId="0" xfId="0" applyFont="1" applyFill="1" applyAlignment="1" applyProtection="1">
      <alignment horizontal="center" vertical="center" wrapText="1"/>
      <protection locked="0"/>
    </xf>
    <xf numFmtId="0" fontId="7" fillId="4" borderId="1" xfId="0" applyFont="1" applyFill="1" applyBorder="1" applyAlignment="1" applyProtection="1">
      <alignment vertical="center"/>
      <protection locked="0"/>
    </xf>
    <xf numFmtId="167" fontId="7" fillId="4" borderId="1" xfId="0" applyNumberFormat="1" applyFont="1" applyFill="1" applyBorder="1" applyAlignment="1" applyProtection="1">
      <alignment vertical="center"/>
      <protection locked="0"/>
    </xf>
    <xf numFmtId="170" fontId="7" fillId="4" borderId="1" xfId="0" applyNumberFormat="1" applyFont="1" applyFill="1" applyBorder="1" applyAlignment="1" applyProtection="1">
      <alignment vertical="center"/>
      <protection locked="0"/>
    </xf>
    <xf numFmtId="165" fontId="7" fillId="4" borderId="1" xfId="0" applyNumberFormat="1" applyFont="1" applyFill="1" applyBorder="1" applyAlignment="1" applyProtection="1">
      <alignment vertical="center"/>
      <protection locked="0"/>
    </xf>
    <xf numFmtId="0" fontId="7" fillId="8" borderId="20" xfId="0" applyFont="1" applyFill="1" applyBorder="1" applyAlignment="1" applyProtection="1">
      <alignment vertical="center"/>
      <protection locked="0"/>
    </xf>
    <xf numFmtId="3" fontId="7" fillId="8" borderId="20" xfId="0" applyNumberFormat="1" applyFont="1" applyFill="1" applyBorder="1" applyAlignment="1" applyProtection="1">
      <alignment vertical="center"/>
      <protection locked="0"/>
    </xf>
    <xf numFmtId="9" fontId="7" fillId="8" borderId="20" xfId="0" applyNumberFormat="1" applyFont="1" applyFill="1" applyBorder="1" applyAlignment="1" applyProtection="1">
      <alignment vertical="center"/>
      <protection locked="0"/>
    </xf>
    <xf numFmtId="0" fontId="6" fillId="0" borderId="0" xfId="0" applyFont="1" applyAlignment="1" applyProtection="1">
      <alignment vertical="center"/>
      <protection locked="0"/>
    </xf>
    <xf numFmtId="0" fontId="21" fillId="0" borderId="0" xfId="0" applyFont="1" applyAlignment="1" applyProtection="1">
      <alignment vertical="center"/>
      <protection locked="0"/>
    </xf>
    <xf numFmtId="0" fontId="19" fillId="2" borderId="0" xfId="0" applyFont="1" applyFill="1" applyAlignment="1" applyProtection="1">
      <alignment vertical="center" indent="1"/>
      <protection locked="0"/>
    </xf>
    <xf numFmtId="0" fontId="3" fillId="0" borderId="0" xfId="0" applyFont="1" applyAlignment="1" applyProtection="1">
      <alignment indent="1"/>
      <protection locked="0"/>
    </xf>
    <xf numFmtId="0" fontId="7" fillId="4" borderId="1" xfId="0" applyFont="1" applyFill="1" applyBorder="1" applyProtection="1">
      <protection locked="0"/>
    </xf>
    <xf numFmtId="167" fontId="7" fillId="4" borderId="1" xfId="0" applyNumberFormat="1" applyFont="1" applyFill="1" applyBorder="1" applyProtection="1">
      <protection locked="0"/>
    </xf>
    <xf numFmtId="166" fontId="7" fillId="4" borderId="1" xfId="0" applyNumberFormat="1" applyFont="1" applyFill="1" applyBorder="1" applyProtection="1">
      <protection locked="0"/>
    </xf>
    <xf numFmtId="165" fontId="7" fillId="4" borderId="1" xfId="0" applyNumberFormat="1" applyFont="1" applyFill="1" applyBorder="1" applyProtection="1">
      <protection locked="0"/>
    </xf>
    <xf numFmtId="172" fontId="7" fillId="8" borderId="20" xfId="0" applyNumberFormat="1" applyFont="1" applyFill="1" applyBorder="1" applyAlignment="1" applyProtection="1">
      <alignment vertical="center"/>
      <protection locked="0"/>
    </xf>
    <xf numFmtId="0" fontId="21" fillId="0" borderId="0" xfId="0" applyFont="1" applyProtection="1">
      <protection locked="0"/>
    </xf>
    <xf numFmtId="167" fontId="7" fillId="8" borderId="3" xfId="0" applyNumberFormat="1" applyFont="1" applyFill="1" applyBorder="1" applyProtection="1">
      <protection locked="0"/>
    </xf>
    <xf numFmtId="0" fontId="6" fillId="0" borderId="0" xfId="0" applyFont="1" applyProtection="1">
      <protection locked="0"/>
    </xf>
    <xf numFmtId="4" fontId="7" fillId="4" borderId="1" xfId="0" applyNumberFormat="1" applyFont="1" applyFill="1" applyBorder="1" applyProtection="1">
      <protection locked="0"/>
    </xf>
    <xf numFmtId="0" fontId="14" fillId="21" borderId="0" xfId="0" applyFont="1" applyFill="1" applyAlignment="1" applyProtection="1">
      <alignment indent="1"/>
      <protection locked="0"/>
    </xf>
    <xf numFmtId="0" fontId="15" fillId="21" borderId="0" xfId="0" applyFont="1" applyFill="1" applyProtection="1">
      <protection locked="0"/>
    </xf>
    <xf numFmtId="171" fontId="7" fillId="8" borderId="20" xfId="0" applyNumberFormat="1" applyFont="1" applyFill="1" applyBorder="1" applyAlignment="1" applyProtection="1">
      <alignment vertical="center"/>
      <protection locked="0"/>
    </xf>
    <xf numFmtId="171" fontId="7" fillId="8" borderId="3" xfId="0" applyNumberFormat="1" applyFont="1" applyFill="1" applyBorder="1" applyProtection="1">
      <protection locked="0"/>
    </xf>
    <xf numFmtId="0" fontId="7" fillId="8" borderId="3" xfId="0" applyFont="1" applyFill="1" applyBorder="1" applyProtection="1">
      <protection locked="0"/>
    </xf>
    <xf numFmtId="171" fontId="7" fillId="8" borderId="4" xfId="0" applyNumberFormat="1" applyFont="1" applyFill="1" applyBorder="1" applyProtection="1">
      <protection locked="0"/>
    </xf>
    <xf numFmtId="0" fontId="7" fillId="8" borderId="4" xfId="0" applyFont="1" applyFill="1" applyBorder="1" applyProtection="1">
      <protection locked="0"/>
    </xf>
    <xf numFmtId="165" fontId="7" fillId="4" borderId="4" xfId="0" applyNumberFormat="1" applyFont="1" applyFill="1" applyBorder="1" applyProtection="1">
      <protection locked="0"/>
    </xf>
    <xf numFmtId="0" fontId="49" fillId="0" borderId="21" xfId="0" applyFont="1" applyBorder="1" applyProtection="1">
      <protection locked="0"/>
    </xf>
    <xf numFmtId="0" fontId="50" fillId="0" borderId="21" xfId="0" applyFont="1" applyBorder="1" applyProtection="1">
      <protection locked="0"/>
    </xf>
    <xf numFmtId="0" fontId="0" fillId="0" borderId="0" xfId="0" applyProtection="1">
      <protection locked="0"/>
    </xf>
    <xf numFmtId="0" fontId="1" fillId="2" borderId="0" xfId="0" applyFont="1" applyFill="1" applyAlignment="1" applyProtection="1">
      <alignment vertical="center" indent="1"/>
      <protection locked="0"/>
    </xf>
    <xf numFmtId="0" fontId="4" fillId="0" borderId="0" xfId="0" applyFont="1" applyAlignment="1" applyProtection="1">
      <alignment vertical="top" wrapText="1"/>
      <protection locked="0"/>
    </xf>
    <xf numFmtId="0" fontId="5" fillId="0" borderId="0" xfId="0" applyFont="1" applyProtection="1">
      <protection locked="0"/>
    </xf>
    <xf numFmtId="0" fontId="10" fillId="0" borderId="0" xfId="0" applyFont="1" applyProtection="1">
      <protection locked="0"/>
    </xf>
    <xf numFmtId="0" fontId="15" fillId="0" borderId="0" xfId="0" applyFont="1" applyProtection="1">
      <protection locked="0"/>
    </xf>
    <xf numFmtId="0" fontId="11" fillId="2" borderId="0" xfId="0" applyFont="1" applyFill="1" applyAlignment="1" applyProtection="1">
      <alignment horizontal="center" vertical="center"/>
      <protection locked="0"/>
    </xf>
    <xf numFmtId="0" fontId="12" fillId="0" borderId="1" xfId="0" applyFont="1" applyBorder="1" applyAlignment="1" applyProtection="1">
      <alignment vertical="center" wrapText="1"/>
      <protection locked="0"/>
    </xf>
    <xf numFmtId="0" fontId="15" fillId="0" borderId="1" xfId="0" applyFont="1" applyBorder="1" applyAlignment="1" applyProtection="1">
      <alignment vertical="center" wrapText="1"/>
      <protection locked="0"/>
    </xf>
    <xf numFmtId="0" fontId="16" fillId="0" borderId="1"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12" fillId="7" borderId="1" xfId="0" applyFont="1" applyFill="1" applyBorder="1" applyAlignment="1" applyProtection="1">
      <alignment vertical="center" wrapText="1"/>
      <protection locked="0"/>
    </xf>
    <xf numFmtId="0" fontId="15" fillId="7" borderId="1" xfId="0" applyFont="1" applyFill="1" applyBorder="1" applyAlignment="1" applyProtection="1">
      <alignment vertical="center" wrapText="1"/>
      <protection locked="0"/>
    </xf>
    <xf numFmtId="0" fontId="16" fillId="7" borderId="1" xfId="0" applyFont="1" applyFill="1" applyBorder="1" applyAlignment="1" applyProtection="1">
      <alignment horizontal="center" vertical="center" wrapText="1"/>
      <protection locked="0"/>
    </xf>
    <xf numFmtId="0" fontId="8" fillId="5" borderId="0" xfId="0" applyFont="1" applyFill="1" applyAlignment="1" applyProtection="1">
      <alignment horizontal="center" vertical="center" wrapText="1"/>
      <protection locked="0"/>
    </xf>
    <xf numFmtId="0" fontId="9" fillId="0" borderId="0" xfId="0" applyFont="1" applyProtection="1">
      <protection locked="0"/>
    </xf>
    <xf numFmtId="0" fontId="3" fillId="0" borderId="0" xfId="0" applyFont="1" applyAlignment="1" applyProtection="1">
      <alignment horizontal="center" vertical="center"/>
      <protection locked="0"/>
    </xf>
    <xf numFmtId="164" fontId="35" fillId="10" borderId="17" xfId="0" applyNumberFormat="1" applyFont="1" applyFill="1" applyBorder="1" applyAlignment="1" applyProtection="1">
      <alignment horizontal="center" vertical="center"/>
      <protection hidden="1"/>
    </xf>
    <xf numFmtId="165" fontId="35" fillId="10" borderId="17" xfId="0" applyNumberFormat="1" applyFont="1" applyFill="1" applyBorder="1" applyAlignment="1" applyProtection="1">
      <alignment horizontal="center" vertical="center"/>
      <protection hidden="1"/>
    </xf>
    <xf numFmtId="164" fontId="25" fillId="23" borderId="4" xfId="0" applyNumberFormat="1" applyFont="1" applyFill="1" applyBorder="1" applyAlignment="1" applyProtection="1">
      <alignment horizontal="center" vertical="center"/>
      <protection hidden="1"/>
    </xf>
    <xf numFmtId="165" fontId="15" fillId="23" borderId="4" xfId="0" applyNumberFormat="1" applyFont="1" applyFill="1" applyBorder="1" applyAlignment="1" applyProtection="1">
      <alignment horizontal="center" vertical="center"/>
      <protection hidden="1"/>
    </xf>
    <xf numFmtId="166" fontId="15" fillId="0" borderId="14" xfId="0" applyNumberFormat="1" applyFont="1" applyBorder="1" applyAlignment="1" applyProtection="1">
      <alignment horizontal="center" vertical="center"/>
      <protection hidden="1"/>
    </xf>
    <xf numFmtId="164" fontId="25" fillId="24" borderId="4" xfId="0" applyNumberFormat="1" applyFont="1" applyFill="1" applyBorder="1" applyAlignment="1" applyProtection="1">
      <alignment horizontal="center" vertical="center"/>
      <protection hidden="1"/>
    </xf>
    <xf numFmtId="165" fontId="15" fillId="24" borderId="4" xfId="0" applyNumberFormat="1" applyFont="1" applyFill="1" applyBorder="1" applyAlignment="1" applyProtection="1">
      <alignment horizontal="center" vertical="center"/>
      <protection hidden="1"/>
    </xf>
    <xf numFmtId="166" fontId="15" fillId="24" borderId="4" xfId="0" applyNumberFormat="1" applyFont="1" applyFill="1" applyBorder="1" applyAlignment="1" applyProtection="1">
      <alignment horizontal="center" vertical="center"/>
      <protection hidden="1"/>
    </xf>
    <xf numFmtId="166" fontId="15" fillId="23" borderId="4" xfId="0" applyNumberFormat="1" applyFont="1" applyFill="1" applyBorder="1" applyAlignment="1" applyProtection="1">
      <alignment horizontal="center" vertical="center"/>
      <protection hidden="1"/>
    </xf>
    <xf numFmtId="166" fontId="35" fillId="10" borderId="7" xfId="0" applyNumberFormat="1" applyFont="1" applyFill="1" applyBorder="1" applyAlignment="1" applyProtection="1">
      <alignment horizontal="center" vertical="center"/>
      <protection hidden="1"/>
    </xf>
    <xf numFmtId="166" fontId="35" fillId="10" borderId="4" xfId="0" applyNumberFormat="1" applyFont="1" applyFill="1" applyBorder="1" applyAlignment="1" applyProtection="1">
      <alignment horizontal="center" vertical="center"/>
      <protection hidden="1"/>
    </xf>
    <xf numFmtId="166" fontId="35" fillId="10" borderId="8" xfId="0" applyNumberFormat="1" applyFont="1" applyFill="1" applyBorder="1" applyAlignment="1" applyProtection="1">
      <alignment horizontal="center" vertical="center"/>
      <protection hidden="1"/>
    </xf>
    <xf numFmtId="167" fontId="25" fillId="23" borderId="4" xfId="0" applyNumberFormat="1" applyFont="1" applyFill="1" applyBorder="1" applyAlignment="1" applyProtection="1">
      <alignment horizontal="right" vertical="center"/>
      <protection hidden="1"/>
    </xf>
    <xf numFmtId="166" fontId="25" fillId="24" borderId="4" xfId="0" applyNumberFormat="1" applyFont="1" applyFill="1" applyBorder="1" applyAlignment="1" applyProtection="1">
      <alignment horizontal="right" vertical="center"/>
      <protection hidden="1"/>
    </xf>
    <xf numFmtId="165" fontId="25" fillId="23" borderId="4" xfId="0" applyNumberFormat="1" applyFont="1" applyFill="1" applyBorder="1" applyAlignment="1" applyProtection="1">
      <alignment horizontal="right" vertical="center"/>
      <protection hidden="1"/>
    </xf>
    <xf numFmtId="167" fontId="25" fillId="24" borderId="4" xfId="0" applyNumberFormat="1" applyFont="1" applyFill="1" applyBorder="1" applyAlignment="1" applyProtection="1">
      <alignment horizontal="right" vertical="center"/>
      <protection hidden="1"/>
    </xf>
    <xf numFmtId="166" fontId="25" fillId="23" borderId="4" xfId="0" applyNumberFormat="1" applyFont="1" applyFill="1" applyBorder="1" applyAlignment="1" applyProtection="1">
      <alignment horizontal="right" vertical="center"/>
      <protection hidden="1"/>
    </xf>
    <xf numFmtId="164" fontId="15" fillId="23" borderId="4" xfId="0" applyNumberFormat="1" applyFont="1" applyFill="1" applyBorder="1" applyAlignment="1" applyProtection="1">
      <alignment horizontal="right" vertical="center"/>
      <protection hidden="1"/>
    </xf>
    <xf numFmtId="166" fontId="15" fillId="23" borderId="4" xfId="0" applyNumberFormat="1" applyFont="1" applyFill="1" applyBorder="1" applyAlignment="1" applyProtection="1">
      <alignment horizontal="right" vertical="center"/>
      <protection hidden="1"/>
    </xf>
    <xf numFmtId="166" fontId="15" fillId="23" borderId="4" xfId="0" applyNumberFormat="1" applyFont="1" applyFill="1" applyBorder="1" applyAlignment="1" applyProtection="1">
      <alignment horizontal="center" vertical="center"/>
      <protection hidden="1"/>
    </xf>
    <xf numFmtId="167" fontId="40" fillId="19" borderId="11" xfId="0" applyNumberFormat="1" applyFont="1" applyFill="1" applyBorder="1" applyAlignment="1" applyProtection="1">
      <alignment horizontal="right" vertical="center"/>
      <protection hidden="1"/>
    </xf>
    <xf numFmtId="164" fontId="40" fillId="19" borderId="11" xfId="0" applyNumberFormat="1" applyFont="1" applyFill="1" applyBorder="1" applyAlignment="1" applyProtection="1">
      <alignment horizontal="right" vertical="center"/>
      <protection hidden="1"/>
    </xf>
    <xf numFmtId="166" fontId="40" fillId="19" borderId="11" xfId="0" applyNumberFormat="1" applyFont="1" applyFill="1" applyBorder="1" applyAlignment="1" applyProtection="1">
      <alignment horizontal="right" vertical="center"/>
      <protection hidden="1"/>
    </xf>
    <xf numFmtId="166" fontId="40" fillId="19" borderId="11" xfId="0" applyNumberFormat="1" applyFont="1" applyFill="1" applyBorder="1" applyAlignment="1" applyProtection="1">
      <alignment horizontal="center" vertical="center"/>
      <protection hidden="1"/>
    </xf>
    <xf numFmtId="0" fontId="15" fillId="23" borderId="7" xfId="0" applyFont="1" applyFill="1" applyBorder="1" applyAlignment="1" applyProtection="1">
      <alignment horizontal="right" vertical="center"/>
      <protection hidden="1"/>
    </xf>
    <xf numFmtId="164" fontId="25" fillId="23" borderId="4" xfId="0" applyNumberFormat="1" applyFont="1" applyFill="1" applyBorder="1" applyAlignment="1" applyProtection="1">
      <alignment horizontal="right" vertical="center"/>
      <protection hidden="1"/>
    </xf>
    <xf numFmtId="167" fontId="15" fillId="23" borderId="4" xfId="0" applyNumberFormat="1" applyFont="1" applyFill="1" applyBorder="1" applyAlignment="1" applyProtection="1">
      <alignment horizontal="center" vertical="center"/>
      <protection hidden="1"/>
    </xf>
    <xf numFmtId="164" fontId="25" fillId="24" borderId="4" xfId="0" applyNumberFormat="1" applyFont="1" applyFill="1" applyBorder="1" applyAlignment="1" applyProtection="1">
      <alignment horizontal="right" vertical="center"/>
      <protection hidden="1"/>
    </xf>
    <xf numFmtId="167" fontId="15" fillId="24" borderId="4" xfId="0" applyNumberFormat="1" applyFont="1" applyFill="1" applyBorder="1" applyAlignment="1" applyProtection="1">
      <alignment horizontal="center" vertical="center"/>
      <protection hidden="1"/>
    </xf>
    <xf numFmtId="164" fontId="15" fillId="23" borderId="4" xfId="0" applyNumberFormat="1" applyFont="1" applyFill="1" applyBorder="1" applyAlignment="1" applyProtection="1">
      <alignment horizontal="center" vertical="center"/>
      <protection hidden="1"/>
    </xf>
    <xf numFmtId="164" fontId="15" fillId="24" borderId="4" xfId="0" applyNumberFormat="1" applyFont="1" applyFill="1" applyBorder="1" applyAlignment="1" applyProtection="1">
      <alignment horizontal="center" vertical="center"/>
      <protection hidden="1"/>
    </xf>
    <xf numFmtId="166" fontId="15" fillId="24" borderId="4" xfId="0" applyNumberFormat="1" applyFont="1" applyFill="1" applyBorder="1" applyAlignment="1" applyProtection="1">
      <alignment horizontal="right" vertical="center"/>
      <protection hidden="1"/>
    </xf>
    <xf numFmtId="166" fontId="39" fillId="10" borderId="4" xfId="0" applyNumberFormat="1" applyFont="1" applyFill="1" applyBorder="1" applyAlignment="1" applyProtection="1">
      <alignment horizontal="right" vertical="center"/>
      <protection hidden="1"/>
    </xf>
    <xf numFmtId="0" fontId="15" fillId="23" borderId="7" xfId="0" applyFont="1" applyFill="1" applyBorder="1" applyAlignment="1" applyProtection="1">
      <alignment horizontal="center" vertical="center"/>
      <protection hidden="1"/>
    </xf>
    <xf numFmtId="0" fontId="15" fillId="24" borderId="7" xfId="0" applyFont="1" applyFill="1" applyBorder="1" applyAlignment="1" applyProtection="1">
      <alignment horizontal="center" vertical="center"/>
      <protection hidden="1"/>
    </xf>
    <xf numFmtId="164" fontId="13" fillId="5" borderId="1" xfId="0" applyNumberFormat="1" applyFont="1" applyFill="1" applyBorder="1" applyAlignment="1" applyProtection="1">
      <alignment vertical="center"/>
      <protection hidden="1"/>
    </xf>
    <xf numFmtId="164" fontId="6" fillId="3" borderId="0" xfId="0" applyNumberFormat="1" applyFont="1" applyFill="1" applyAlignment="1" applyProtection="1">
      <alignment vertical="center"/>
      <protection hidden="1"/>
    </xf>
    <xf numFmtId="166" fontId="13" fillId="5" borderId="1" xfId="0" applyNumberFormat="1" applyFont="1" applyFill="1" applyBorder="1" applyProtection="1">
      <protection hidden="1"/>
    </xf>
    <xf numFmtId="164" fontId="13" fillId="5" borderId="1" xfId="0" applyNumberFormat="1" applyFont="1" applyFill="1" applyBorder="1" applyProtection="1">
      <protection hidden="1"/>
    </xf>
    <xf numFmtId="164" fontId="20" fillId="3" borderId="0" xfId="0" applyNumberFormat="1" applyFont="1" applyFill="1" applyProtection="1">
      <protection hidden="1"/>
    </xf>
    <xf numFmtId="166" fontId="20" fillId="3" borderId="0" xfId="0" applyNumberFormat="1" applyFont="1" applyFill="1" applyProtection="1">
      <protection hidden="1"/>
    </xf>
    <xf numFmtId="167" fontId="13" fillId="5" borderId="1" xfId="0" applyNumberFormat="1" applyFont="1" applyFill="1" applyBorder="1" applyProtection="1">
      <protection hidden="1"/>
    </xf>
    <xf numFmtId="0" fontId="13" fillId="5" borderId="1" xfId="0" applyFont="1" applyFill="1" applyBorder="1" applyProtection="1">
      <protection hidden="1"/>
    </xf>
    <xf numFmtId="166" fontId="13" fillId="5" borderId="4" xfId="0" applyNumberFormat="1" applyFont="1" applyFill="1" applyBorder="1" applyProtection="1">
      <protection hidden="1"/>
    </xf>
    <xf numFmtId="166" fontId="51" fillId="25" borderId="21" xfId="0" applyNumberFormat="1" applyFont="1" applyFill="1" applyBorder="1" applyProtection="1">
      <protection hidden="1"/>
    </xf>
    <xf numFmtId="0" fontId="13" fillId="5" borderId="4" xfId="0" applyFont="1" applyFill="1" applyBorder="1" applyProtection="1">
      <protection hidden="1"/>
    </xf>
    <xf numFmtId="167" fontId="13" fillId="5" borderId="4" xfId="0" applyNumberFormat="1" applyFont="1" applyFill="1" applyBorder="1" applyProtection="1">
      <protection hidden="1"/>
    </xf>
    <xf numFmtId="167" fontId="51" fillId="25" borderId="21" xfId="0" applyNumberFormat="1" applyFont="1" applyFill="1" applyBorder="1" applyProtection="1">
      <protection hidden="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7A8C"/>
      <rgbColor rgb="FFD9D9D9"/>
      <rgbColor rgb="FF878787"/>
      <rgbColor rgb="FF9999FF"/>
      <rgbColor rgb="FF993366"/>
      <rgbColor rgb="FFFFF8E6"/>
      <rgbColor rgb="FFEAF1FC"/>
      <rgbColor rgb="FF6B007B"/>
      <rgbColor rgb="FFFF8080"/>
      <rgbColor rgb="FF0066CC"/>
      <rgbColor rgb="FFD5DCEA"/>
      <rgbColor rgb="FF000080"/>
      <rgbColor rgb="FFFF00FF"/>
      <rgbColor rgb="FFFFFF00"/>
      <rgbColor rgb="FF00FFFF"/>
      <rgbColor rgb="FF800080"/>
      <rgbColor rgb="FF800000"/>
      <rgbColor rgb="FF1D7145"/>
      <rgbColor rgb="FF0000FF"/>
      <rgbColor rgb="FF00CCFF"/>
      <rgbColor rgb="FFE4EAF5"/>
      <rgbColor rgb="FFDCE6F2"/>
      <rgbColor rgb="FFFDEAEA"/>
      <rgbColor rgb="FFF7F9FC"/>
      <rgbColor rgb="FFFF99CC"/>
      <rgbColor rgb="FFCC99FF"/>
      <rgbColor rgb="FFF2F5FA"/>
      <rgbColor rgb="FF3366FF"/>
      <rgbColor rgb="FF33CCCC"/>
      <rgbColor rgb="FF99CC00"/>
      <rgbColor rgb="FFFFCC00"/>
      <rgbColor rgb="FFFF9900"/>
      <rgbColor rgb="FFC55A11"/>
      <rgbColor rgb="FF767DAE"/>
      <rgbColor rgb="FF969696"/>
      <rgbColor rgb="FF1F3864"/>
      <rgbColor rgb="FF339966"/>
      <rgbColor rgb="FF003300"/>
      <rgbColor rgb="FF6B4C12"/>
      <rgbColor rgb="FFC0392B"/>
      <rgbColor rgb="FF993366"/>
      <rgbColor rgb="FF333399"/>
      <rgbColor rgb="FF59595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solidFill>
                <a:latin typeface="Aptos Display" panose="020B0004020202020204" pitchFamily="34" charset="0"/>
                <a:ea typeface="+mn-ea"/>
                <a:cs typeface="+mn-cs"/>
              </a:defRPr>
            </a:pPr>
            <a:r>
              <a:rPr lang="es-CO" sz="1200"/>
              <a:t>Margen por hora de agenda</a:t>
            </a:r>
          </a:p>
        </c:rich>
      </c:tx>
      <c:overlay val="0"/>
      <c:spPr>
        <a:noFill/>
        <a:ln w="0">
          <a:noFill/>
          <a:prstDash val="solid"/>
        </a:ln>
        <a:effectLst/>
      </c:spPr>
      <c:txPr>
        <a:bodyPr rot="0" spcFirstLastPara="1" vertOverflow="ellipsis" vert="horz" wrap="square" anchor="ctr" anchorCtr="1"/>
        <a:lstStyle/>
        <a:p>
          <a:pPr>
            <a:defRPr sz="1200" b="1" i="0" u="none" strike="noStrike" kern="1200" baseline="0">
              <a:solidFill>
                <a:schemeClr val="tx1"/>
              </a:solidFill>
              <a:latin typeface="Aptos Display" panose="020B0004020202020204" pitchFamily="34" charset="0"/>
              <a:ea typeface="+mn-ea"/>
              <a:cs typeface="+mn-cs"/>
            </a:defRPr>
          </a:pPr>
          <a:endParaRPr lang="es-CO"/>
        </a:p>
      </c:txPr>
    </c:title>
    <c:autoTitleDeleted val="0"/>
    <c:plotArea>
      <c:layout/>
      <c:barChart>
        <c:barDir val="bar"/>
        <c:grouping val="clustered"/>
        <c:varyColors val="0"/>
        <c:ser>
          <c:idx val="0"/>
          <c:order val="0"/>
          <c:tx>
            <c:strRef>
              <c:f>Tablero!$G$33</c:f>
              <c:strCache>
                <c:ptCount val="1"/>
                <c:pt idx="0">
                  <c:v>Margen por hora</c:v>
                </c:pt>
              </c:strCache>
            </c:strRef>
          </c:tx>
          <c:spPr>
            <a:solidFill>
              <a:schemeClr val="accent2"/>
            </a:solidFill>
            <a:ln>
              <a:noFill/>
            </a:ln>
            <a:effectLst/>
          </c:spPr>
          <c:invertIfNegative val="0"/>
          <c:dLbls>
            <c:spPr>
              <a:noFill/>
              <a:ln>
                <a:noFill/>
                <a:prstDash val="solid"/>
              </a:ln>
              <a:effectLst/>
            </c:spPr>
            <c:txPr>
              <a:bodyPr rot="0" spcFirstLastPara="1" vertOverflow="ellipsis" vert="horz" wrap="square" anchor="ctr" anchorCtr="1"/>
              <a:lstStyle/>
              <a:p>
                <a:pPr>
                  <a:defRPr sz="1000" b="1" i="0" u="none" strike="noStrike" kern="1200" baseline="0">
                    <a:solidFill>
                      <a:schemeClr val="bg1"/>
                    </a:solidFill>
                    <a:latin typeface="Aptos Display" panose="020B0004020202020204" pitchFamily="34" charset="0"/>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Tablero!$B$34:$B$45</c:f>
              <c:strCache>
                <c:ptCount val="12"/>
                <c:pt idx="0">
                  <c:v>Corte dama</c:v>
                </c:pt>
                <c:pt idx="1">
                  <c:v>Corte caballero</c:v>
                </c:pt>
                <c:pt idx="2">
                  <c:v>Coloración raíz</c:v>
                </c:pt>
                <c:pt idx="3">
                  <c:v>Mechas / balayage</c:v>
                </c:pt>
                <c:pt idx="4">
                  <c:v>Keratina</c:v>
                </c:pt>
                <c:pt idx="5">
                  <c:v>Manicure</c:v>
                </c:pt>
                <c:pt idx="6">
                  <c:v>Peinado / brushing</c:v>
                </c:pt>
                <c:pt idx="7">
                  <c:v>Cepillado y secado</c:v>
                </c:pt>
                <c:pt idx="8">
                  <c:v>Corte niño</c:v>
                </c:pt>
                <c:pt idx="9">
                  <c:v>Barba y perfilado</c:v>
                </c:pt>
                <c:pt idx="10">
                  <c:v>Corte caballero + barba</c:v>
                </c:pt>
                <c:pt idx="11">
                  <c:v>Retoque de color</c:v>
                </c:pt>
              </c:strCache>
            </c:strRef>
          </c:cat>
          <c:val>
            <c:numRef>
              <c:f>Tablero!$G$34:$G$45</c:f>
              <c:numCache>
                <c:formatCode>\$#,##0;"($"#,##0\);\-</c:formatCode>
                <c:ptCount val="12"/>
                <c:pt idx="0">
                  <c:v>41120</c:v>
                </c:pt>
                <c:pt idx="1">
                  <c:v>38320</c:v>
                </c:pt>
                <c:pt idx="2">
                  <c:v>48430</c:v>
                </c:pt>
                <c:pt idx="3">
                  <c:v>65413.333333333336</c:v>
                </c:pt>
                <c:pt idx="4">
                  <c:v>65240</c:v>
                </c:pt>
                <c:pt idx="5">
                  <c:v>34320</c:v>
                </c:pt>
                <c:pt idx="6">
                  <c:v>57750</c:v>
                </c:pt>
                <c:pt idx="7">
                  <c:v>53200</c:v>
                </c:pt>
                <c:pt idx="8">
                  <c:v>37422</c:v>
                </c:pt>
                <c:pt idx="9">
                  <c:v>31892</c:v>
                </c:pt>
                <c:pt idx="10">
                  <c:v>33821.052631578947</c:v>
                </c:pt>
                <c:pt idx="11">
                  <c:v>45680.923076923078</c:v>
                </c:pt>
              </c:numCache>
            </c:numRef>
          </c:val>
          <c:extLst>
            <c:ext xmlns:c16="http://schemas.microsoft.com/office/drawing/2014/chart" uri="{C3380CC4-5D6E-409C-BE32-E72D297353CC}">
              <c16:uniqueId val="{00000000-0EE2-4444-930B-F8AF6C51B7FB}"/>
            </c:ext>
          </c:extLst>
        </c:ser>
        <c:dLbls>
          <c:showLegendKey val="0"/>
          <c:showVal val="1"/>
          <c:showCatName val="0"/>
          <c:showSerName val="0"/>
          <c:showPercent val="0"/>
          <c:showBubbleSize val="0"/>
        </c:dLbls>
        <c:gapWidth val="30"/>
        <c:overlap val="-29"/>
        <c:axId val="52242366"/>
        <c:axId val="81749574"/>
      </c:barChart>
      <c:catAx>
        <c:axId val="52242366"/>
        <c:scaling>
          <c:orientation val="minMax"/>
        </c:scaling>
        <c:delete val="0"/>
        <c:axPos val="l"/>
        <c:numFmt formatCode="General" sourceLinked="1"/>
        <c:majorTickMark val="none"/>
        <c:minorTickMark val="none"/>
        <c:tickLblPos val="nextTo"/>
        <c:spPr>
          <a:noFill/>
          <a:ln w="9360" cap="flat" cmpd="sng" algn="ctr">
            <a:solidFill>
              <a:srgbClr val="878787"/>
            </a:solidFill>
            <a:prstDash val="solid"/>
            <a:round/>
          </a:ln>
          <a:effectLst/>
        </c:spPr>
        <c:txPr>
          <a:bodyPr rot="-60000000" spcFirstLastPara="1" vertOverflow="ellipsis" vert="horz" wrap="square" anchor="ctr" anchorCtr="1"/>
          <a:lstStyle/>
          <a:p>
            <a:pPr>
              <a:defRPr sz="900" b="0" i="0" u="none" strike="noStrike" kern="1200" baseline="0">
                <a:solidFill>
                  <a:schemeClr val="tx1"/>
                </a:solidFill>
                <a:latin typeface="Aptos Display" panose="020B0004020202020204" pitchFamily="34" charset="0"/>
                <a:ea typeface="+mn-ea"/>
                <a:cs typeface="+mn-cs"/>
              </a:defRPr>
            </a:pPr>
            <a:endParaRPr lang="es-CO"/>
          </a:p>
        </c:txPr>
        <c:crossAx val="81749574"/>
        <c:crosses val="autoZero"/>
        <c:auto val="1"/>
        <c:lblAlgn val="ctr"/>
        <c:lblOffset val="100"/>
        <c:noMultiLvlLbl val="0"/>
      </c:catAx>
      <c:valAx>
        <c:axId val="81749574"/>
        <c:scaling>
          <c:orientation val="minMax"/>
        </c:scaling>
        <c:delete val="1"/>
        <c:axPos val="b"/>
        <c:numFmt formatCode="\$#,##0;&quot;($&quot;#,##0\);\-" sourceLinked="1"/>
        <c:majorTickMark val="none"/>
        <c:minorTickMark val="none"/>
        <c:tickLblPos val="nextTo"/>
        <c:crossAx val="52242366"/>
        <c:crosses val="autoZero"/>
        <c:crossBetween val="between"/>
      </c:valAx>
      <c:spPr>
        <a:solidFill>
          <a:schemeClr val="bg1"/>
        </a:solidFill>
        <a:ln>
          <a:noFill/>
        </a:ln>
        <a:effectLst/>
      </c:spPr>
    </c:plotArea>
    <c:plotVisOnly val="1"/>
    <c:dispBlanksAs val="gap"/>
    <c:showDLblsOverMax val="1"/>
  </c:chart>
  <c:spPr>
    <a:solidFill>
      <a:srgbClr val="FFFFFF"/>
    </a:solidFill>
    <a:ln w="9360" cap="flat" cmpd="sng" algn="ctr">
      <a:solidFill>
        <a:srgbClr val="D9D9D9"/>
      </a:solidFill>
      <a:prstDash val="solid"/>
      <a:round/>
    </a:ln>
    <a:effectLst/>
  </c:spPr>
  <c:txPr>
    <a:bodyPr/>
    <a:lstStyle/>
    <a:p>
      <a:pPr>
        <a:defRPr>
          <a:latin typeface="Aptos Display" panose="020B00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200" b="1" i="0" u="none" strike="noStrike" kern="1200" cap="none" spc="20" baseline="0">
                <a:solidFill>
                  <a:sysClr val="windowText" lastClr="000000"/>
                </a:solidFill>
                <a:latin typeface="Aptos Display" panose="020B0004020202020204" pitchFamily="34" charset="0"/>
                <a:ea typeface="+mn-ea"/>
                <a:cs typeface="+mn-cs"/>
              </a:defRPr>
            </a:pPr>
            <a:r>
              <a:rPr lang="es-CO" sz="1200" b="1"/>
              <a:t>Horas vendidas por día de la semana</a:t>
            </a:r>
          </a:p>
        </c:rich>
      </c:tx>
      <c:overlay val="0"/>
      <c:spPr>
        <a:noFill/>
        <a:ln>
          <a:noFill/>
        </a:ln>
        <a:effectLst/>
      </c:spPr>
      <c:txPr>
        <a:bodyPr rot="0" spcFirstLastPara="1" vertOverflow="ellipsis" vert="horz" wrap="square" anchor="ctr" anchorCtr="1"/>
        <a:lstStyle/>
        <a:p>
          <a:pPr>
            <a:defRPr sz="1200" b="1" i="0" u="none" strike="noStrike" kern="1200" cap="none" spc="20" baseline="0">
              <a:solidFill>
                <a:sysClr val="windowText" lastClr="000000"/>
              </a:solidFill>
              <a:latin typeface="Aptos Display" panose="020B0004020202020204" pitchFamily="34" charset="0"/>
              <a:ea typeface="+mn-ea"/>
              <a:cs typeface="+mn-cs"/>
            </a:defRPr>
          </a:pPr>
          <a:endParaRPr lang="es-CO"/>
        </a:p>
      </c:txPr>
    </c:title>
    <c:autoTitleDeleted val="0"/>
    <c:view3D>
      <c:rotX val="15"/>
      <c:rotY val="2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line3DChart>
        <c:grouping val="standard"/>
        <c:varyColors val="0"/>
        <c:ser>
          <c:idx val="0"/>
          <c:order val="0"/>
          <c:tx>
            <c:strRef>
              <c:f>Tablero!$C$53</c:f>
              <c:strCache>
                <c:ptCount val="1"/>
                <c:pt idx="0">
                  <c:v>Horas vendidas</c:v>
                </c:pt>
              </c:strCache>
            </c:strRef>
          </c:tx>
          <c:spPr>
            <a:gradFill>
              <a:gsLst>
                <a:gs pos="0">
                  <a:schemeClr val="accent1">
                    <a:tint val="50000"/>
                  </a:schemeClr>
                </a:gs>
                <a:gs pos="35000">
                  <a:schemeClr val="accent1">
                    <a:tint val="37000"/>
                  </a:schemeClr>
                </a:gs>
                <a:gs pos="100000">
                  <a:schemeClr val="accent1">
                    <a:tint val="15000"/>
                  </a:schemeClr>
                </a:gs>
              </a:gsLst>
              <a:lin ang="16200000" scaled="1"/>
              <a:tileRect/>
            </a:gradFill>
            <a:ln w="9525" cap="flat" cmpd="sng" algn="ctr">
              <a:solidFill>
                <a:schemeClr val="accent1">
                  <a:shade val="95000"/>
                </a:schemeClr>
              </a:solidFill>
              <a:round/>
            </a:ln>
            <a:effectLst/>
            <a:sp3d contourW="9525">
              <a:contourClr>
                <a:schemeClr val="accent1">
                  <a:shade val="95000"/>
                </a:schemeClr>
              </a:contourClr>
            </a:sp3d>
          </c:spPr>
          <c:dLbls>
            <c:spPr>
              <a:solidFill>
                <a:schemeClr val="accent5">
                  <a:lumMod val="20000"/>
                  <a:lumOff val="80000"/>
                </a:schemeClr>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1" i="0" u="none" strike="noStrike" kern="1200" baseline="0">
                    <a:solidFill>
                      <a:schemeClr val="tx2">
                        <a:lumMod val="75000"/>
                      </a:schemeClr>
                    </a:solidFill>
                    <a:latin typeface="Aptos Display" panose="020B000402020202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0"/>
              </c:ext>
            </c:extLst>
          </c:dLbls>
          <c:cat>
            <c:strRef>
              <c:f>Tablero!$B$54:$B$60</c:f>
              <c:strCache>
                <c:ptCount val="7"/>
                <c:pt idx="0">
                  <c:v>lun</c:v>
                </c:pt>
                <c:pt idx="1">
                  <c:v>mar</c:v>
                </c:pt>
                <c:pt idx="2">
                  <c:v>mié</c:v>
                </c:pt>
                <c:pt idx="3">
                  <c:v>jue</c:v>
                </c:pt>
                <c:pt idx="4">
                  <c:v>vie</c:v>
                </c:pt>
                <c:pt idx="5">
                  <c:v>sáb</c:v>
                </c:pt>
                <c:pt idx="6">
                  <c:v>dom</c:v>
                </c:pt>
              </c:strCache>
            </c:strRef>
          </c:cat>
          <c:val>
            <c:numRef>
              <c:f>Tablero!$C$54:$C$60</c:f>
              <c:numCache>
                <c:formatCode>#,##0.0</c:formatCode>
                <c:ptCount val="7"/>
                <c:pt idx="0">
                  <c:v>21.166666666666668</c:v>
                </c:pt>
                <c:pt idx="1">
                  <c:v>55.833333333333336</c:v>
                </c:pt>
                <c:pt idx="2">
                  <c:v>33.5</c:v>
                </c:pt>
                <c:pt idx="3">
                  <c:v>46.833333333333336</c:v>
                </c:pt>
                <c:pt idx="4">
                  <c:v>27.083333333333332</c:v>
                </c:pt>
                <c:pt idx="5">
                  <c:v>48.166666666666664</c:v>
                </c:pt>
                <c:pt idx="6">
                  <c:v>24.416666666666668</c:v>
                </c:pt>
              </c:numCache>
            </c:numRef>
          </c:val>
          <c:smooth val="0"/>
          <c:extLst>
            <c:ext xmlns:c16="http://schemas.microsoft.com/office/drawing/2014/chart" uri="{C3380CC4-5D6E-409C-BE32-E72D297353CC}">
              <c16:uniqueId val="{00000000-738F-4387-80F5-819BF5B2F255}"/>
            </c:ext>
          </c:extLst>
        </c:ser>
        <c:dLbls>
          <c:showLegendKey val="0"/>
          <c:showVal val="0"/>
          <c:showCatName val="0"/>
          <c:showSerName val="0"/>
          <c:showPercent val="0"/>
          <c:showBubbleSize val="0"/>
        </c:dLbls>
        <c:axId val="90826737"/>
        <c:axId val="31724987"/>
        <c:axId val="1370425024"/>
      </c:line3DChart>
      <c:catAx>
        <c:axId val="9082673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ptos Display" panose="020B0004020202020204" pitchFamily="34" charset="0"/>
                <a:ea typeface="+mn-ea"/>
                <a:cs typeface="+mn-cs"/>
              </a:defRPr>
            </a:pPr>
            <a:endParaRPr lang="es-CO"/>
          </a:p>
        </c:txPr>
        <c:crossAx val="31724987"/>
        <c:crosses val="autoZero"/>
        <c:auto val="1"/>
        <c:lblAlgn val="ctr"/>
        <c:lblOffset val="100"/>
        <c:noMultiLvlLbl val="0"/>
      </c:catAx>
      <c:valAx>
        <c:axId val="3172498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ptos Display" panose="020B0004020202020204" pitchFamily="34" charset="0"/>
                <a:ea typeface="+mn-ea"/>
                <a:cs typeface="+mn-cs"/>
              </a:defRPr>
            </a:pPr>
            <a:endParaRPr lang="es-CO"/>
          </a:p>
        </c:txPr>
        <c:crossAx val="90826737"/>
        <c:crosses val="autoZero"/>
        <c:crossBetween val="between"/>
      </c:valAx>
      <c:serAx>
        <c:axId val="137042502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ptos Display" panose="020B0004020202020204" pitchFamily="34" charset="0"/>
                <a:ea typeface="+mn-ea"/>
                <a:cs typeface="+mn-cs"/>
              </a:defRPr>
            </a:pPr>
            <a:endParaRPr lang="es-CO"/>
          </a:p>
        </c:txPr>
        <c:crossAx val="31724987"/>
        <c:crosses val="autoZero"/>
      </c:serAx>
      <c:spPr>
        <a:noFill/>
        <a:ln>
          <a:noFill/>
        </a:ln>
        <a:effectLst/>
      </c:spPr>
    </c:plotArea>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ptos Display" panose="020B000402020202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E6DF-4DB8-954C-A91443D4EA07}"/>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E6DF-4DB8-954C-A91443D4EA07}"/>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E6DF-4DB8-954C-A91443D4EA07}"/>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E6DF-4DB8-954C-A91443D4EA07}"/>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9-E6DF-4DB8-954C-A91443D4EA07}"/>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B-E6DF-4DB8-954C-A91443D4EA07}"/>
              </c:ext>
            </c:extLst>
          </c:dPt>
          <c:dPt>
            <c:idx val="6"/>
            <c:bubble3D val="0"/>
            <c:spPr>
              <a:solidFill>
                <a:schemeClr val="accent1">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D-E6DF-4DB8-954C-A91443D4EA07}"/>
              </c:ext>
            </c:extLst>
          </c:dPt>
          <c:dPt>
            <c:idx val="7"/>
            <c:bubble3D val="0"/>
            <c:spPr>
              <a:solidFill>
                <a:schemeClr val="accent2">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F-E6DF-4DB8-954C-A91443D4EA07}"/>
              </c:ext>
            </c:extLst>
          </c:dPt>
          <c:dPt>
            <c:idx val="8"/>
            <c:bubble3D val="0"/>
            <c:spPr>
              <a:solidFill>
                <a:schemeClr val="accent3">
                  <a:lumMod val="6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11-E6DF-4DB8-954C-A91443D4EA07}"/>
              </c:ext>
            </c:extLst>
          </c:dPt>
          <c:dLbls>
            <c:dLbl>
              <c:idx val="0"/>
              <c:tx>
                <c:rich>
                  <a:bodyPr/>
                  <a:lstStyle/>
                  <a:p>
                    <a:fld id="{4B346582-81E0-49C8-9706-C555D7A49DAA}" type="CATEGORYNAME">
                      <a:rPr lang="en-US"/>
                      <a:pPr/>
                      <a:t>[NOMBRE DE CATEGORÍA]</a:t>
                    </a:fld>
                    <a:r>
                      <a:rPr lang="en-US" baseline="0"/>
                      <a:t>, </a:t>
                    </a:r>
                  </a:p>
                  <a:p>
                    <a:fld id="{84467E5C-7DE8-421E-A2E4-9DD35EF0DEF6}" type="VALUE">
                      <a:rPr lang="en-US" baseline="0"/>
                      <a:pPr/>
                      <a:t>[VALOR]</a:t>
                    </a:fld>
                    <a:endParaRPr lang="es-CO"/>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E6DF-4DB8-954C-A91443D4EA07}"/>
                </c:ext>
              </c:extLst>
            </c:dLbl>
            <c:dLbl>
              <c:idx val="1"/>
              <c:tx>
                <c:rich>
                  <a:bodyPr/>
                  <a:lstStyle/>
                  <a:p>
                    <a:fld id="{270DD2C3-985E-49D6-AC31-51A586A790AC}" type="CATEGORYNAME">
                      <a:rPr lang="en-US"/>
                      <a:pPr/>
                      <a:t>[NOMBRE DE CATEGORÍA]</a:t>
                    </a:fld>
                    <a:r>
                      <a:rPr lang="en-US" baseline="0"/>
                      <a:t>,</a:t>
                    </a:r>
                  </a:p>
                  <a:p>
                    <a:r>
                      <a:rPr lang="en-US" baseline="0"/>
                      <a:t> </a:t>
                    </a:r>
                    <a:fld id="{C104A50E-730B-461C-9239-88947EAE85EF}" type="VALUE">
                      <a:rPr lang="en-US" baseline="0"/>
                      <a:pPr/>
                      <a:t>[VALOR]</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E6DF-4DB8-954C-A91443D4EA07}"/>
                </c:ext>
              </c:extLst>
            </c:dLbl>
            <c:dLbl>
              <c:idx val="2"/>
              <c:tx>
                <c:rich>
                  <a:bodyPr/>
                  <a:lstStyle/>
                  <a:p>
                    <a:fld id="{FC51C418-A43D-4459-B536-B01FB07B85E0}" type="CATEGORYNAME">
                      <a:rPr lang="en-US"/>
                      <a:pPr/>
                      <a:t>[NOMBRE DE CATEGORÍA]</a:t>
                    </a:fld>
                    <a:r>
                      <a:rPr lang="en-US" baseline="0"/>
                      <a:t>,</a:t>
                    </a:r>
                  </a:p>
                  <a:p>
                    <a:r>
                      <a:rPr lang="en-US" baseline="0"/>
                      <a:t> </a:t>
                    </a:r>
                    <a:fld id="{4757AADC-6081-4711-ADF1-8CDFE19164B7}" type="VALUE">
                      <a:rPr lang="en-US" baseline="0"/>
                      <a:pPr/>
                      <a:t>[VALOR]</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E6DF-4DB8-954C-A91443D4EA07}"/>
                </c:ext>
              </c:extLst>
            </c:dLbl>
            <c:dLbl>
              <c:idx val="3"/>
              <c:tx>
                <c:rich>
                  <a:bodyPr/>
                  <a:lstStyle/>
                  <a:p>
                    <a:fld id="{BCFC770E-D131-4D5C-9F6E-84379FB55B5B}" type="CATEGORYNAME">
                      <a:rPr lang="en-US"/>
                      <a:pPr/>
                      <a:t>[NOMBRE DE CATEGORÍA]</a:t>
                    </a:fld>
                    <a:r>
                      <a:rPr lang="en-US" baseline="0"/>
                      <a:t>,</a:t>
                    </a:r>
                  </a:p>
                  <a:p>
                    <a:r>
                      <a:rPr lang="en-US" baseline="0"/>
                      <a:t> </a:t>
                    </a:r>
                    <a:fld id="{D76FEA97-721B-4F64-975C-5F4253F6D380}" type="VALUE">
                      <a:rPr lang="en-US" baseline="0"/>
                      <a:pPr/>
                      <a:t>[VALOR]</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E6DF-4DB8-954C-A91443D4EA07}"/>
                </c:ext>
              </c:extLst>
            </c:dLbl>
            <c:dLbl>
              <c:idx val="5"/>
              <c:tx>
                <c:rich>
                  <a:bodyPr/>
                  <a:lstStyle/>
                  <a:p>
                    <a:fld id="{F5CDDEB1-C8DF-4F77-A5BD-B7252B0DC5B3}" type="CATEGORYNAME">
                      <a:rPr lang="en-US"/>
                      <a:pPr/>
                      <a:t>[NOMBRE DE CATEGORÍA]</a:t>
                    </a:fld>
                    <a:r>
                      <a:rPr lang="en-US" baseline="0"/>
                      <a:t>, </a:t>
                    </a:r>
                  </a:p>
                  <a:p>
                    <a:fld id="{EE2D2B04-3363-4C12-AD3E-4B9938920869}" type="VALUE">
                      <a:rPr lang="en-US" baseline="0"/>
                      <a:pPr/>
                      <a:t>[VALOR]</a:t>
                    </a:fld>
                    <a:endParaRPr lang="es-CO"/>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E6DF-4DB8-954C-A91443D4EA07}"/>
                </c:ext>
              </c:extLst>
            </c:dLbl>
            <c:dLbl>
              <c:idx val="6"/>
              <c:tx>
                <c:rich>
                  <a:bodyPr/>
                  <a:lstStyle/>
                  <a:p>
                    <a:fld id="{3E638671-6A0E-4CEB-9767-47B03CF229B8}" type="CATEGORYNAME">
                      <a:rPr lang="en-US"/>
                      <a:pPr/>
                      <a:t>[NOMBRE DE CATEGORÍA]</a:t>
                    </a:fld>
                    <a:r>
                      <a:rPr lang="en-US" baseline="0"/>
                      <a:t>,</a:t>
                    </a:r>
                  </a:p>
                  <a:p>
                    <a:r>
                      <a:rPr lang="en-US" baseline="0"/>
                      <a:t> </a:t>
                    </a:r>
                    <a:fld id="{C202E6F2-9845-4B91-8E90-096CFE53E3BE}" type="VALUE">
                      <a:rPr lang="en-US" baseline="0"/>
                      <a:pPr/>
                      <a:t>[VALOR]</a:t>
                    </a:fld>
                    <a:endParaRPr lang="en-US" baseline="0"/>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D-E6DF-4DB8-954C-A91443D4EA07}"/>
                </c:ext>
              </c:extLst>
            </c:dLbl>
            <c:spPr>
              <a:noFill/>
              <a:ln>
                <a:noFill/>
              </a:ln>
              <a:effectLst/>
            </c:spPr>
            <c:txPr>
              <a:bodyPr rot="0" spcFirstLastPara="1" vertOverflow="ellipsis" vert="horz" wrap="square" anchor="ctr" anchorCtr="1"/>
              <a:lstStyle/>
              <a:p>
                <a:pPr>
                  <a:defRPr sz="1000" b="1" i="0" u="none" strike="noStrike" kern="1200" baseline="0">
                    <a:solidFill>
                      <a:schemeClr val="lt1"/>
                    </a:solidFill>
                    <a:latin typeface="Aptos Display" panose="020B0004020202020204" pitchFamily="34" charset="0"/>
                    <a:ea typeface="+mn-ea"/>
                    <a:cs typeface="+mn-cs"/>
                  </a:defRPr>
                </a:pPr>
                <a:endParaRPr lang="es-CO"/>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Tablero!$B$67:$B$73</c:f>
              <c:strCache>
                <c:ptCount val="7"/>
                <c:pt idx="0">
                  <c:v>Ana Ramírez</c:v>
                </c:pt>
                <c:pt idx="1">
                  <c:v>Carlos Díaz</c:v>
                </c:pt>
                <c:pt idx="2">
                  <c:v>Lucía Peña</c:v>
                </c:pt>
                <c:pt idx="3">
                  <c:v>Sara Gómez</c:v>
                </c:pt>
                <c:pt idx="4">
                  <c:v>Laura Cifuentes</c:v>
                </c:pt>
                <c:pt idx="5">
                  <c:v>Diego Peña</c:v>
                </c:pt>
                <c:pt idx="6">
                  <c:v>Marcela Ruiz</c:v>
                </c:pt>
              </c:strCache>
            </c:strRef>
          </c:cat>
          <c:val>
            <c:numRef>
              <c:f>Tablero!$D$67:$D$73</c:f>
              <c:numCache>
                <c:formatCode>#,##0.0</c:formatCode>
                <c:ptCount val="7"/>
                <c:pt idx="0">
                  <c:v>108</c:v>
                </c:pt>
                <c:pt idx="1">
                  <c:v>108</c:v>
                </c:pt>
                <c:pt idx="2">
                  <c:v>80</c:v>
                </c:pt>
                <c:pt idx="3">
                  <c:v>96</c:v>
                </c:pt>
                <c:pt idx="4">
                  <c:v>192</c:v>
                </c:pt>
                <c:pt idx="5">
                  <c:v>234</c:v>
                </c:pt>
                <c:pt idx="6">
                  <c:v>154</c:v>
                </c:pt>
              </c:numCache>
            </c:numRef>
          </c:val>
          <c:extLst>
            <c:ext xmlns:c16="http://schemas.microsoft.com/office/drawing/2014/chart" uri="{C3380CC4-5D6E-409C-BE32-E72D297353CC}">
              <c16:uniqueId val="{00000012-E6DF-4DB8-954C-A91443D4EA07}"/>
            </c:ext>
          </c:extLst>
        </c:ser>
        <c:dLbls>
          <c:showLegendKey val="0"/>
          <c:showVal val="1"/>
          <c:showCatName val="1"/>
          <c:showSerName val="0"/>
          <c:showPercent val="0"/>
          <c:showBubbleSize val="0"/>
          <c:showLeaderLines val="1"/>
        </c:dLbls>
        <c:firstSliceAng val="0"/>
        <c:holeSize val="50"/>
      </c:doughnutChart>
      <c:spPr>
        <a:noFill/>
        <a:ln>
          <a:noFill/>
        </a:ln>
        <a:effectLst/>
      </c:spPr>
    </c:plotArea>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latin typeface="Aptos Display" panose="020B0004020202020204" pitchFamily="34" charset="0"/>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
  <cs:axisTitle>
    <cs:lnRef idx="0"/>
    <cs:fillRef idx="0"/>
    <cs:effectRef idx="0"/>
    <cs:fontRef idx="minor">
      <a:schemeClr val="tx1"/>
    </cs:fontRef>
    <cs:defRPr sz="1000" b="1" kern="1200"/>
  </cs:axisTitle>
  <cs:categoryAxis>
    <cs:lnRef idx="1">
      <a:schemeClr val="tx1"/>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0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1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77</xdr:row>
      <xdr:rowOff>63500</xdr:rowOff>
    </xdr:from>
    <xdr:to>
      <xdr:col>5</xdr:col>
      <xdr:colOff>492135</xdr:colOff>
      <xdr:row>95</xdr:row>
      <xdr:rowOff>132184</xdr:rowOff>
    </xdr:to>
    <xdr:graphicFrame macro="">
      <xdr:nvGraphicFramePr>
        <xdr:cNvPr id="4" name="Chart 4">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666750</xdr:colOff>
      <xdr:row>77</xdr:row>
      <xdr:rowOff>42334</xdr:rowOff>
    </xdr:from>
    <xdr:to>
      <xdr:col>9</xdr:col>
      <xdr:colOff>891683</xdr:colOff>
      <xdr:row>95</xdr:row>
      <xdr:rowOff>133878</xdr:rowOff>
    </xdr:to>
    <xdr:graphicFrame macro="">
      <xdr:nvGraphicFramePr>
        <xdr:cNvPr id="5" name="Chart 5">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2</xdr:col>
      <xdr:colOff>984250</xdr:colOff>
      <xdr:row>100</xdr:row>
      <xdr:rowOff>56725</xdr:rowOff>
    </xdr:from>
    <xdr:ext cx="5080000" cy="3513667"/>
    <xdr:graphicFrame macro="">
      <xdr:nvGraphicFramePr>
        <xdr:cNvPr id="6" name="Chart 3">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9FA9C87-894F-4982-A881-A036A088D746}">
  <we:reference id="wa200009404" version="1.0.0.8" store="en-US" storeType="OMEX"/>
  <we:alternateReferences>
    <we:reference id="WA200009404" version="1.0.0.8" store="" storeType="OMEX"/>
  </we:alternateReferences>
  <we:properties>
    <we:property name="claude.fileId" value="&quot;ac2893f9-29e1-45d2-b8a0-80104c3d02e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A2761"/>
  </sheetPr>
  <dimension ref="A1:K123"/>
  <sheetViews>
    <sheetView showGridLines="0" zoomScale="90" zoomScaleNormal="100" workbookViewId="0">
      <selection activeCell="G13" sqref="G13:J16"/>
    </sheetView>
  </sheetViews>
  <sheetFormatPr baseColWidth="10" defaultColWidth="8.6640625" defaultRowHeight="14.4" x14ac:dyDescent="0.3"/>
  <cols>
    <col min="1" max="1" width="2" style="2" customWidth="1"/>
    <col min="2" max="2" width="26" style="2" customWidth="1"/>
    <col min="3" max="5" width="15" style="2" customWidth="1"/>
    <col min="6" max="6" width="11" style="2" bestFit="1" customWidth="1"/>
    <col min="7" max="7" width="24" style="2" customWidth="1"/>
    <col min="8" max="8" width="15" style="2" customWidth="1"/>
    <col min="9" max="9" width="17" style="2" bestFit="1" customWidth="1"/>
    <col min="10" max="10" width="15" style="2" customWidth="1"/>
    <col min="11" max="11" width="2" style="2" customWidth="1"/>
    <col min="12" max="16384" width="8.6640625" style="2"/>
  </cols>
  <sheetData>
    <row r="1" spans="1:11" x14ac:dyDescent="0.3">
      <c r="A1" s="1"/>
      <c r="B1" s="1"/>
      <c r="C1" s="1"/>
      <c r="D1" s="1"/>
      <c r="E1" s="1"/>
      <c r="F1" s="1"/>
      <c r="G1" s="1"/>
      <c r="H1" s="1"/>
      <c r="I1" s="1"/>
      <c r="J1" s="1"/>
      <c r="K1" s="1"/>
    </row>
    <row r="2" spans="1:11" ht="28.05" customHeight="1" x14ac:dyDescent="0.3">
      <c r="A2" s="1"/>
      <c r="B2" s="3" t="s">
        <v>0</v>
      </c>
      <c r="C2" s="4"/>
      <c r="D2" s="4"/>
      <c r="E2" s="4"/>
      <c r="F2" s="4"/>
      <c r="G2" s="4"/>
      <c r="H2" s="4"/>
      <c r="I2" s="4"/>
      <c r="J2" s="4"/>
      <c r="K2" s="1"/>
    </row>
    <row r="3" spans="1:11" ht="15" customHeight="1" x14ac:dyDescent="0.3">
      <c r="A3" s="1"/>
      <c r="B3" s="5" t="s">
        <v>1</v>
      </c>
      <c r="C3" s="6"/>
      <c r="D3" s="6"/>
      <c r="E3" s="6"/>
      <c r="F3" s="6"/>
      <c r="G3" s="6"/>
      <c r="H3" s="6"/>
      <c r="I3" s="6"/>
      <c r="J3" s="6"/>
      <c r="K3" s="1"/>
    </row>
    <row r="4" spans="1:11" ht="15" customHeight="1" x14ac:dyDescent="0.3">
      <c r="A4" s="1"/>
      <c r="B4" s="1"/>
      <c r="C4" s="1"/>
      <c r="D4" s="1"/>
      <c r="E4" s="1"/>
      <c r="F4" s="1"/>
      <c r="G4" s="1"/>
      <c r="H4" s="1"/>
      <c r="I4" s="1"/>
      <c r="J4" s="1"/>
      <c r="K4" s="1"/>
    </row>
    <row r="5" spans="1:11" x14ac:dyDescent="0.3">
      <c r="A5" s="1"/>
      <c r="B5" s="1"/>
      <c r="C5" s="1"/>
      <c r="D5" s="1"/>
      <c r="E5" s="1"/>
      <c r="F5" s="1"/>
      <c r="G5" s="1"/>
      <c r="H5" s="1"/>
      <c r="I5" s="1"/>
      <c r="J5" s="1"/>
      <c r="K5" s="1"/>
    </row>
    <row r="6" spans="1:11" ht="19.95" customHeight="1" x14ac:dyDescent="0.3">
      <c r="A6" s="1"/>
      <c r="B6" s="7" t="s">
        <v>2</v>
      </c>
      <c r="C6" s="8"/>
      <c r="D6" s="8"/>
      <c r="E6" s="8"/>
      <c r="F6" s="8"/>
      <c r="G6" s="8"/>
      <c r="H6" s="8"/>
      <c r="I6" s="8"/>
      <c r="J6" s="8"/>
      <c r="K6" s="1"/>
    </row>
    <row r="7" spans="1:11" ht="4.05" customHeight="1" x14ac:dyDescent="0.3">
      <c r="A7" s="1"/>
      <c r="B7" s="9"/>
      <c r="C7" s="10"/>
      <c r="D7" s="11"/>
      <c r="E7" s="12"/>
      <c r="F7" s="13"/>
      <c r="G7" s="14"/>
      <c r="H7" s="15"/>
      <c r="I7" s="16"/>
      <c r="J7" s="17"/>
      <c r="K7" s="1"/>
    </row>
    <row r="8" spans="1:11" ht="16.95" customHeight="1" x14ac:dyDescent="0.3">
      <c r="A8" s="1"/>
      <c r="B8" s="18" t="s">
        <v>3</v>
      </c>
      <c r="C8" s="19"/>
      <c r="D8" s="18" t="s">
        <v>4</v>
      </c>
      <c r="E8" s="20"/>
      <c r="F8" s="21"/>
      <c r="G8" s="18" t="s">
        <v>5</v>
      </c>
      <c r="H8" s="19"/>
      <c r="I8" s="18" t="s">
        <v>6</v>
      </c>
      <c r="J8" s="19"/>
      <c r="K8" s="1"/>
    </row>
    <row r="9" spans="1:11" ht="33" customHeight="1" x14ac:dyDescent="0.3">
      <c r="A9" s="1"/>
      <c r="B9" s="189">
        <f>Profesionales!G20</f>
        <v>972</v>
      </c>
      <c r="C9" s="22"/>
      <c r="D9" s="189">
        <f>(SUM(Ventas!H5:H404)/60)</f>
        <v>257</v>
      </c>
      <c r="E9" s="23"/>
      <c r="F9" s="22"/>
      <c r="G9" s="190">
        <f>IFERROR((SUM(Ventas!H5:H404)/60)/Profesionales!G20,0)</f>
        <v>0.26440329218106995</v>
      </c>
      <c r="H9" s="22"/>
      <c r="I9" s="189">
        <f>MAX(Profesionales!G20-(SUM(Ventas!H5:H404)/60),0)</f>
        <v>715</v>
      </c>
      <c r="J9" s="22"/>
      <c r="K9" s="1"/>
    </row>
    <row r="10" spans="1:11" ht="3" customHeight="1" x14ac:dyDescent="0.3">
      <c r="A10" s="1"/>
      <c r="B10" s="9"/>
      <c r="C10" s="24"/>
      <c r="D10" s="24"/>
      <c r="E10" s="24"/>
      <c r="F10" s="24"/>
      <c r="G10" s="24"/>
      <c r="H10" s="24"/>
      <c r="I10" s="24"/>
      <c r="J10" s="10"/>
      <c r="K10" s="1"/>
    </row>
    <row r="11" spans="1:11" x14ac:dyDescent="0.3">
      <c r="A11" s="1"/>
      <c r="B11" s="25"/>
      <c r="C11" s="26"/>
      <c r="D11" s="26"/>
      <c r="E11" s="26"/>
      <c r="F11" s="26"/>
      <c r="G11" s="26"/>
      <c r="H11" s="26"/>
      <c r="I11" s="26"/>
      <c r="J11" s="27"/>
      <c r="K11" s="1"/>
    </row>
    <row r="12" spans="1:11" s="31" customFormat="1" ht="28.8" x14ac:dyDescent="0.3">
      <c r="A12" s="1"/>
      <c r="B12" s="28" t="s">
        <v>7</v>
      </c>
      <c r="C12" s="29" t="s">
        <v>8</v>
      </c>
      <c r="D12" s="29" t="s">
        <v>9</v>
      </c>
      <c r="E12" s="30" t="s">
        <v>10</v>
      </c>
      <c r="F12" s="30"/>
      <c r="G12" s="30" t="s">
        <v>332</v>
      </c>
      <c r="H12" s="30"/>
      <c r="I12" s="30"/>
      <c r="J12" s="30"/>
      <c r="K12" s="1"/>
    </row>
    <row r="13" spans="1:11" s="31" customFormat="1" ht="21.6" customHeight="1" x14ac:dyDescent="0.3">
      <c r="A13" s="1"/>
      <c r="B13" s="32" t="s">
        <v>11</v>
      </c>
      <c r="C13" s="191">
        <f>Profesionales!G20</f>
        <v>972</v>
      </c>
      <c r="D13" s="192">
        <f>IFERROR(C13/$C$13,0)</f>
        <v>1</v>
      </c>
      <c r="E13" s="193">
        <f>C13*IFERROR(SUM(Ventas!K5:K404)/(SUM(Ventas!H5:H404)/60),0)</f>
        <v>62598312.840466924</v>
      </c>
      <c r="F13" s="33"/>
      <c r="G13" s="34" t="s">
        <v>331</v>
      </c>
      <c r="H13" s="34"/>
      <c r="I13" s="34"/>
      <c r="J13" s="35"/>
      <c r="K13" s="1"/>
    </row>
    <row r="14" spans="1:11" s="31" customFormat="1" ht="21.6" customHeight="1" x14ac:dyDescent="0.3">
      <c r="A14" s="1"/>
      <c r="B14" s="36" t="s">
        <v>12</v>
      </c>
      <c r="C14" s="194">
        <f>(SUM(Ventas!H5:H404)/60)</f>
        <v>257</v>
      </c>
      <c r="D14" s="195">
        <f>IFERROR(C14/$C$13,0)</f>
        <v>0.26440329218106995</v>
      </c>
      <c r="E14" s="196">
        <f>SUM(Ventas!K5:K404)</f>
        <v>16551200</v>
      </c>
      <c r="F14" s="37"/>
      <c r="G14" s="38"/>
      <c r="H14" s="38"/>
      <c r="I14" s="38"/>
      <c r="J14" s="39"/>
      <c r="K14" s="1"/>
    </row>
    <row r="15" spans="1:11" s="31" customFormat="1" ht="21.6" customHeight="1" x14ac:dyDescent="0.3">
      <c r="A15" s="1"/>
      <c r="B15" s="32" t="s">
        <v>13</v>
      </c>
      <c r="C15" s="191">
        <f>MAX(C13-C14,0)</f>
        <v>715</v>
      </c>
      <c r="D15" s="192">
        <f>IFERROR(C15/$C$13,0)</f>
        <v>0.73559670781893005</v>
      </c>
      <c r="E15" s="197">
        <f>C15*IFERROR(SUM(Ventas!K5:K404)/(SUM(Ventas!H5:H404)/60),0)</f>
        <v>46047112.840466924</v>
      </c>
      <c r="F15" s="40"/>
      <c r="G15" s="38"/>
      <c r="H15" s="38"/>
      <c r="I15" s="38"/>
      <c r="J15" s="39"/>
      <c r="K15" s="1"/>
    </row>
    <row r="16" spans="1:11" s="31" customFormat="1" ht="21.6" customHeight="1" x14ac:dyDescent="0.3">
      <c r="A16" s="1"/>
      <c r="B16" s="36" t="s">
        <v>14</v>
      </c>
      <c r="C16" s="194">
        <f>MAX($C$13*Instrucciones!$D$22-C14,0)</f>
        <v>472</v>
      </c>
      <c r="D16" s="195">
        <f>IFERROR(C16/$C$13,0)</f>
        <v>0.48559670781893005</v>
      </c>
      <c r="E16" s="196">
        <f>C16*IFERROR(SUM(Ventas!K5:K404)/(SUM(Ventas!H5:H404)/60),0)</f>
        <v>30397534.630350195</v>
      </c>
      <c r="F16" s="37"/>
      <c r="G16" s="38"/>
      <c r="H16" s="38"/>
      <c r="I16" s="38"/>
      <c r="J16" s="39"/>
      <c r="K16" s="1"/>
    </row>
    <row r="17" spans="1:11" ht="7.05" customHeight="1" x14ac:dyDescent="0.3">
      <c r="A17" s="1"/>
      <c r="B17" s="41"/>
      <c r="C17" s="42"/>
      <c r="D17" s="42"/>
      <c r="E17" s="42"/>
      <c r="F17" s="42"/>
      <c r="G17" s="42"/>
      <c r="H17" s="42"/>
      <c r="I17" s="42"/>
      <c r="J17" s="43"/>
      <c r="K17" s="1"/>
    </row>
    <row r="18" spans="1:11" x14ac:dyDescent="0.3">
      <c r="A18" s="1"/>
      <c r="B18" s="1"/>
      <c r="C18" s="1"/>
      <c r="D18" s="1"/>
      <c r="E18" s="1"/>
      <c r="F18" s="1"/>
      <c r="G18" s="1"/>
      <c r="H18" s="1"/>
      <c r="I18" s="1"/>
      <c r="J18" s="1"/>
      <c r="K18" s="1"/>
    </row>
    <row r="19" spans="1:11" ht="19.95" customHeight="1" x14ac:dyDescent="0.3">
      <c r="A19" s="1"/>
      <c r="B19" s="7" t="s">
        <v>15</v>
      </c>
      <c r="C19" s="8"/>
      <c r="D19" s="8"/>
      <c r="E19" s="8"/>
      <c r="F19" s="8"/>
      <c r="G19" s="8"/>
      <c r="H19" s="8"/>
      <c r="I19" s="8"/>
      <c r="J19" s="8"/>
      <c r="K19" s="1"/>
    </row>
    <row r="20" spans="1:11" ht="4.05" customHeight="1" x14ac:dyDescent="0.3">
      <c r="A20" s="1"/>
      <c r="B20" s="44"/>
      <c r="C20" s="45"/>
      <c r="D20" s="11"/>
      <c r="E20" s="12"/>
      <c r="F20" s="13"/>
      <c r="G20" s="46"/>
      <c r="H20" s="47"/>
      <c r="I20" s="48"/>
      <c r="J20" s="49"/>
      <c r="K20" s="1"/>
    </row>
    <row r="21" spans="1:11" ht="18" customHeight="1" x14ac:dyDescent="0.3">
      <c r="A21" s="1"/>
      <c r="B21" s="18" t="s">
        <v>16</v>
      </c>
      <c r="C21" s="19"/>
      <c r="D21" s="50" t="s">
        <v>17</v>
      </c>
      <c r="E21" s="19"/>
      <c r="F21" s="19"/>
      <c r="G21" s="50" t="s">
        <v>18</v>
      </c>
      <c r="H21" s="19"/>
      <c r="I21" s="51" t="s">
        <v>19</v>
      </c>
      <c r="J21" s="52"/>
      <c r="K21" s="1"/>
    </row>
    <row r="22" spans="1:11" ht="33" customHeight="1" x14ac:dyDescent="0.3">
      <c r="A22" s="1"/>
      <c r="B22" s="198">
        <f>SUM(Ventas!K5:K404)</f>
        <v>16551200</v>
      </c>
      <c r="C22" s="4"/>
      <c r="D22" s="199">
        <f>SUM(Ventas!L5:L404)</f>
        <v>5062335</v>
      </c>
      <c r="E22" s="4"/>
      <c r="F22" s="4"/>
      <c r="G22" s="199">
        <f>SUM(Ventas!K5:K404)-SUM(Ventas!L5:L404)-SUM(Ventas!M5:M404)</f>
        <v>750980</v>
      </c>
      <c r="H22" s="4"/>
      <c r="I22" s="200">
        <f>SUM(Ventas!M5:M404)</f>
        <v>10737885</v>
      </c>
      <c r="J22" s="53"/>
      <c r="K22" s="1"/>
    </row>
    <row r="23" spans="1:11" ht="16.05" customHeight="1" x14ac:dyDescent="0.3">
      <c r="A23" s="1"/>
      <c r="B23" s="25"/>
      <c r="C23" s="26"/>
      <c r="D23" s="26"/>
      <c r="E23" s="26"/>
      <c r="F23" s="26"/>
      <c r="G23" s="26"/>
      <c r="H23" s="26"/>
      <c r="I23" s="26"/>
      <c r="J23" s="27"/>
      <c r="K23" s="1"/>
    </row>
    <row r="24" spans="1:11" ht="18" customHeight="1" x14ac:dyDescent="0.3">
      <c r="A24" s="1"/>
      <c r="B24" s="54" t="s">
        <v>20</v>
      </c>
      <c r="C24" s="201">
        <f>COUNTA(Ventas!D5:D404)</f>
        <v>338</v>
      </c>
      <c r="D24" s="55"/>
      <c r="E24" s="55"/>
      <c r="F24" s="55"/>
      <c r="G24" s="38" t="s">
        <v>21</v>
      </c>
      <c r="H24" s="38"/>
      <c r="I24" s="38"/>
      <c r="J24" s="39"/>
      <c r="K24" s="1"/>
    </row>
    <row r="25" spans="1:11" ht="18" customHeight="1" x14ac:dyDescent="0.3">
      <c r="A25" s="1"/>
      <c r="B25" s="56" t="s">
        <v>22</v>
      </c>
      <c r="C25" s="202">
        <f>IFERROR(SUM(Ventas!K5:K404)/COUNTA(Ventas!D5:D404),0)</f>
        <v>48968.047337278105</v>
      </c>
      <c r="D25" s="57"/>
      <c r="E25" s="57"/>
      <c r="F25" s="57"/>
      <c r="G25" s="38"/>
      <c r="H25" s="38"/>
      <c r="I25" s="38"/>
      <c r="J25" s="39"/>
      <c r="K25" s="1"/>
    </row>
    <row r="26" spans="1:11" ht="18" customHeight="1" x14ac:dyDescent="0.3">
      <c r="A26" s="1"/>
      <c r="B26" s="54" t="s">
        <v>23</v>
      </c>
      <c r="C26" s="203">
        <f>IFERROR(SUM(Ventas!M5:M404)/SUM(Ventas!K5:K404),0)</f>
        <v>0.64876776306249695</v>
      </c>
      <c r="D26" s="55"/>
      <c r="E26" s="55"/>
      <c r="F26" s="55"/>
      <c r="G26" s="38"/>
      <c r="H26" s="38"/>
      <c r="I26" s="38"/>
      <c r="J26" s="39"/>
      <c r="K26" s="1"/>
    </row>
    <row r="27" spans="1:11" ht="18" customHeight="1" x14ac:dyDescent="0.3">
      <c r="A27" s="1"/>
      <c r="B27" s="56" t="s">
        <v>24</v>
      </c>
      <c r="C27" s="204">
        <f>SUMPRODUCT((Ventas!F5:F404&lt;&gt;"")/COUNTIF(Ventas!F5:F404,Ventas!F5:F404&amp;""))</f>
        <v>69.000000000000114</v>
      </c>
      <c r="D27" s="57"/>
      <c r="E27" s="57"/>
      <c r="F27" s="57"/>
      <c r="G27" s="38"/>
      <c r="H27" s="38"/>
      <c r="I27" s="38"/>
      <c r="J27" s="39"/>
      <c r="K27" s="1"/>
    </row>
    <row r="28" spans="1:11" ht="18" customHeight="1" x14ac:dyDescent="0.3">
      <c r="A28" s="1"/>
      <c r="B28" s="54" t="s">
        <v>25</v>
      </c>
      <c r="C28" s="205">
        <f>Insumos!J65</f>
        <v>236109</v>
      </c>
      <c r="D28" s="55"/>
      <c r="E28" s="55"/>
      <c r="F28" s="55"/>
      <c r="G28" s="58"/>
      <c r="H28" s="58"/>
      <c r="I28" s="58"/>
      <c r="J28" s="59"/>
      <c r="K28" s="1"/>
    </row>
    <row r="29" spans="1:11" ht="3" customHeight="1" x14ac:dyDescent="0.3">
      <c r="A29" s="1"/>
      <c r="B29" s="14"/>
      <c r="C29" s="60"/>
      <c r="D29" s="60"/>
      <c r="E29" s="60"/>
      <c r="F29" s="60"/>
      <c r="G29" s="60"/>
      <c r="H29" s="60"/>
      <c r="I29" s="60"/>
      <c r="J29" s="15"/>
      <c r="K29" s="1"/>
    </row>
    <row r="30" spans="1:11" x14ac:dyDescent="0.3">
      <c r="A30" s="1"/>
      <c r="B30" s="25"/>
      <c r="C30" s="26"/>
      <c r="D30" s="26"/>
      <c r="E30" s="26"/>
      <c r="F30" s="26"/>
      <c r="G30" s="26"/>
      <c r="H30" s="26"/>
      <c r="I30" s="26"/>
      <c r="J30" s="27"/>
      <c r="K30" s="1"/>
    </row>
    <row r="31" spans="1:11" ht="21" customHeight="1" x14ac:dyDescent="0.3">
      <c r="A31" s="1"/>
      <c r="B31" s="61" t="s">
        <v>26</v>
      </c>
      <c r="C31" s="4"/>
      <c r="D31" s="4"/>
      <c r="E31" s="4"/>
      <c r="F31" s="4"/>
      <c r="G31" s="4"/>
      <c r="H31" s="4"/>
      <c r="I31" s="4"/>
      <c r="J31" s="53"/>
      <c r="K31" s="1"/>
    </row>
    <row r="32" spans="1:11" ht="16.05" customHeight="1" x14ac:dyDescent="0.3">
      <c r="A32" s="1"/>
      <c r="B32" s="25"/>
      <c r="C32" s="26"/>
      <c r="D32" s="26"/>
      <c r="E32" s="26"/>
      <c r="F32" s="26"/>
      <c r="G32" s="26"/>
      <c r="H32" s="26"/>
      <c r="I32" s="26"/>
      <c r="J32" s="27"/>
      <c r="K32" s="1"/>
    </row>
    <row r="33" spans="1:11" ht="30.6" customHeight="1" x14ac:dyDescent="0.3">
      <c r="A33" s="1"/>
      <c r="B33" s="62" t="s">
        <v>27</v>
      </c>
      <c r="C33" s="63" t="s">
        <v>28</v>
      </c>
      <c r="D33" s="64" t="s">
        <v>333</v>
      </c>
      <c r="E33" s="63" t="s">
        <v>29</v>
      </c>
      <c r="F33" s="63" t="s">
        <v>30</v>
      </c>
      <c r="G33" s="63" t="s">
        <v>31</v>
      </c>
      <c r="H33" s="65"/>
      <c r="I33" s="65"/>
      <c r="J33" s="66"/>
      <c r="K33" s="1"/>
    </row>
    <row r="34" spans="1:11" ht="16.05" customHeight="1" x14ac:dyDescent="0.3">
      <c r="A34" s="1"/>
      <c r="B34" s="213" t="str">
        <f>IFERROR(INDEX(Servicios!$B:$B,5),"")</f>
        <v>Corte dama</v>
      </c>
      <c r="C34" s="201">
        <f>IFERROR(COUNTIFS(Ventas!$D:$D,Servicios!$A$5),0)</f>
        <v>62</v>
      </c>
      <c r="D34" s="206">
        <f>IFERROR(SUMIFS(Ventas!$H:$H,Ventas!$D:$D,Servicios!$A$5)/60,0)</f>
        <v>46.5</v>
      </c>
      <c r="E34" s="207">
        <f>IFERROR(SUMIFS(Ventas!$K:$K,Ventas!$D:$D,Servicios!$A$5),0)</f>
        <v>2790000</v>
      </c>
      <c r="F34" s="207">
        <f>IFERROR(SUMIFS(Ventas!$M:$M,Ventas!$D:$D,Servicios!$A$5),0)</f>
        <v>1912080</v>
      </c>
      <c r="G34" s="208">
        <f t="shared" ref="G34:G46" si="0">IFERROR(F34/D34,0)</f>
        <v>41120</v>
      </c>
      <c r="H34" s="67"/>
      <c r="I34" s="67"/>
      <c r="J34" s="68"/>
      <c r="K34" s="1"/>
    </row>
    <row r="35" spans="1:11" ht="16.05" customHeight="1" x14ac:dyDescent="0.3">
      <c r="A35" s="1"/>
      <c r="B35" s="213" t="str">
        <f>IFERROR(INDEX(Servicios!$B:$B,6),"")</f>
        <v>Corte caballero</v>
      </c>
      <c r="C35" s="201">
        <f>IFERROR(COUNTIFS(Ventas!$D:$D,Servicios!$A$6),0)</f>
        <v>28</v>
      </c>
      <c r="D35" s="206">
        <f>IFERROR(SUMIFS(Ventas!$H:$H,Ventas!$D:$D,Servicios!$A$6)/60,0)</f>
        <v>14</v>
      </c>
      <c r="E35" s="207">
        <f>IFERROR(SUMIFS(Ventas!$K:$K,Ventas!$D:$D,Servicios!$A$6),0)</f>
        <v>784000</v>
      </c>
      <c r="F35" s="207">
        <f>IFERROR(SUMIFS(Ventas!$M:$M,Ventas!$D:$D,Servicios!$A$6),0)</f>
        <v>536480</v>
      </c>
      <c r="G35" s="208">
        <f t="shared" si="0"/>
        <v>38320</v>
      </c>
      <c r="H35" s="67"/>
      <c r="I35" s="67"/>
      <c r="J35" s="68"/>
      <c r="K35" s="1"/>
    </row>
    <row r="36" spans="1:11" ht="16.05" customHeight="1" x14ac:dyDescent="0.3">
      <c r="A36" s="1"/>
      <c r="B36" s="213" t="str">
        <f>IFERROR(INDEX(Servicios!$B:$B,7),"")</f>
        <v>Coloración raíz</v>
      </c>
      <c r="C36" s="201">
        <f>IFERROR(COUNTIFS(Ventas!$D:$D,Servicios!$A$7),0)</f>
        <v>11</v>
      </c>
      <c r="D36" s="206">
        <f>IFERROR(SUMIFS(Ventas!$H:$H,Ventas!$D:$D,Servicios!$A$7)/60,0)</f>
        <v>16.5</v>
      </c>
      <c r="E36" s="207">
        <f>IFERROR(SUMIFS(Ventas!$K:$K,Ventas!$D:$D,Servicios!$A$7),0)</f>
        <v>1320000</v>
      </c>
      <c r="F36" s="207">
        <f>IFERROR(SUMIFS(Ventas!$M:$M,Ventas!$D:$D,Servicios!$A$7),0)</f>
        <v>799095</v>
      </c>
      <c r="G36" s="208">
        <f t="shared" si="0"/>
        <v>48430</v>
      </c>
      <c r="H36" s="67"/>
      <c r="I36" s="67"/>
      <c r="J36" s="68"/>
      <c r="K36" s="1"/>
    </row>
    <row r="37" spans="1:11" ht="16.05" customHeight="1" x14ac:dyDescent="0.3">
      <c r="A37" s="1"/>
      <c r="B37" s="213" t="str">
        <f>IFERROR(INDEX(Servicios!$B:$B,8),"")</f>
        <v>Mechas / balayage</v>
      </c>
      <c r="C37" s="201">
        <f>IFERROR(COUNTIFS(Ventas!$D:$D,Servicios!$A$8),0)</f>
        <v>3</v>
      </c>
      <c r="D37" s="206">
        <f>IFERROR(SUMIFS(Ventas!$H:$H,Ventas!$D:$D,Servicios!$A$8)/60,0)</f>
        <v>9</v>
      </c>
      <c r="E37" s="207">
        <f>IFERROR(SUMIFS(Ventas!$K:$K,Ventas!$D:$D,Servicios!$A$8),0)</f>
        <v>960000</v>
      </c>
      <c r="F37" s="207">
        <f>IFERROR(SUMIFS(Ventas!$M:$M,Ventas!$D:$D,Servicios!$A$8),0)</f>
        <v>588720</v>
      </c>
      <c r="G37" s="208">
        <f t="shared" si="0"/>
        <v>65413.333333333336</v>
      </c>
      <c r="H37" s="67"/>
      <c r="I37" s="67"/>
      <c r="J37" s="68"/>
      <c r="K37" s="1"/>
    </row>
    <row r="38" spans="1:11" ht="16.05" customHeight="1" x14ac:dyDescent="0.3">
      <c r="A38" s="1"/>
      <c r="B38" s="213" t="str">
        <f>IFERROR(INDEX(Servicios!$B:$B,9),"")</f>
        <v>Keratina</v>
      </c>
      <c r="C38" s="201">
        <f>IFERROR(COUNTIFS(Ventas!$D:$D,Servicios!$A$9),0)</f>
        <v>3</v>
      </c>
      <c r="D38" s="206">
        <f>IFERROR(SUMIFS(Ventas!$H:$H,Ventas!$D:$D,Servicios!$A$9)/60,0)</f>
        <v>7.5</v>
      </c>
      <c r="E38" s="207">
        <f>IFERROR(SUMIFS(Ventas!$K:$K,Ventas!$D:$D,Servicios!$A$9),0)</f>
        <v>840000</v>
      </c>
      <c r="F38" s="207">
        <f>IFERROR(SUMIFS(Ventas!$M:$M,Ventas!$D:$D,Servicios!$A$9),0)</f>
        <v>489300</v>
      </c>
      <c r="G38" s="208">
        <f t="shared" si="0"/>
        <v>65240</v>
      </c>
      <c r="H38" s="67"/>
      <c r="I38" s="67"/>
      <c r="J38" s="68"/>
      <c r="K38" s="1"/>
    </row>
    <row r="39" spans="1:11" ht="16.05" customHeight="1" x14ac:dyDescent="0.3">
      <c r="A39" s="1"/>
      <c r="B39" s="213" t="str">
        <f>IFERROR(INDEX(Servicios!$B:$B,10),"")</f>
        <v>Manicure</v>
      </c>
      <c r="C39" s="201">
        <f>IFERROR(COUNTIFS(Ventas!$D:$D,Servicios!$A$10),0)</f>
        <v>42</v>
      </c>
      <c r="D39" s="206">
        <f>IFERROR(SUMIFS(Ventas!$H:$H,Ventas!$D:$D,Servicios!$A$10)/60,0)</f>
        <v>31.5</v>
      </c>
      <c r="E39" s="207">
        <f>IFERROR(SUMIFS(Ventas!$K:$K,Ventas!$D:$D,Servicios!$A$10),0)</f>
        <v>1470000</v>
      </c>
      <c r="F39" s="207">
        <f>IFERROR(SUMIFS(Ventas!$M:$M,Ventas!$D:$D,Servicios!$A$10),0)</f>
        <v>1081080</v>
      </c>
      <c r="G39" s="208">
        <f t="shared" si="0"/>
        <v>34320</v>
      </c>
      <c r="H39" s="67"/>
      <c r="I39" s="67"/>
      <c r="J39" s="68"/>
      <c r="K39" s="1"/>
    </row>
    <row r="40" spans="1:11" ht="16.05" customHeight="1" x14ac:dyDescent="0.3">
      <c r="A40" s="1"/>
      <c r="B40" s="213" t="str">
        <f>IFERROR(INDEX(Servicios!$B:$B,11),"")</f>
        <v>Peinado / brushing</v>
      </c>
      <c r="C40" s="201">
        <f>IFERROR(COUNTIFS(Ventas!$D:$D,Servicios!$A$11),0)</f>
        <v>6</v>
      </c>
      <c r="D40" s="206">
        <f>IFERROR(SUMIFS(Ventas!$H:$H,Ventas!$D:$D,Servicios!$A$11)/60,0)</f>
        <v>4</v>
      </c>
      <c r="E40" s="207">
        <f>IFERROR(SUMIFS(Ventas!$K:$K,Ventas!$D:$D,Servicios!$A$11),0)</f>
        <v>330000</v>
      </c>
      <c r="F40" s="207">
        <f>IFERROR(SUMIFS(Ventas!$M:$M,Ventas!$D:$D,Servicios!$A$11),0)</f>
        <v>231000</v>
      </c>
      <c r="G40" s="208">
        <f t="shared" si="0"/>
        <v>57750</v>
      </c>
      <c r="H40" s="67"/>
      <c r="I40" s="67"/>
      <c r="J40" s="68"/>
      <c r="K40" s="1"/>
    </row>
    <row r="41" spans="1:11" ht="16.05" customHeight="1" x14ac:dyDescent="0.3">
      <c r="A41" s="1"/>
      <c r="B41" s="213" t="str">
        <f>IFERROR(INDEX(Servicios!$B:$B,12),"")</f>
        <v>Cepillado y secado</v>
      </c>
      <c r="C41" s="201">
        <f>IFERROR(COUNTIFS(Ventas!$D:$D,Servicios!$A$12),0)</f>
        <v>18</v>
      </c>
      <c r="D41" s="206">
        <f>IFERROR(SUMIFS(Ventas!$H:$H,Ventas!$D:$D,Servicios!$A$12)/60,0)</f>
        <v>9</v>
      </c>
      <c r="E41" s="207">
        <f>IFERROR(SUMIFS(Ventas!$K:$K,Ventas!$D:$D,Servicios!$A$12),0)</f>
        <v>684000</v>
      </c>
      <c r="F41" s="207">
        <f>IFERROR(SUMIFS(Ventas!$M:$M,Ventas!$D:$D,Servicios!$A$12),0)</f>
        <v>478800</v>
      </c>
      <c r="G41" s="208">
        <f t="shared" si="0"/>
        <v>53200</v>
      </c>
      <c r="H41" s="67"/>
      <c r="I41" s="67"/>
      <c r="J41" s="68"/>
      <c r="K41" s="1"/>
    </row>
    <row r="42" spans="1:11" ht="16.05" customHeight="1" x14ac:dyDescent="0.3">
      <c r="A42" s="1"/>
      <c r="B42" s="213" t="str">
        <f>IFERROR(INDEX(Servicios!$B:$B,13),"")</f>
        <v>Corte niño</v>
      </c>
      <c r="C42" s="201">
        <f>IFERROR(COUNTIFS(Ventas!$D:$D,Servicios!$A$13),0)</f>
        <v>16</v>
      </c>
      <c r="D42" s="206">
        <f>IFERROR(SUMIFS(Ventas!$H:$H,Ventas!$D:$D,Servicios!$A$13)/60,0)</f>
        <v>6.666666666666667</v>
      </c>
      <c r="E42" s="207">
        <f>IFERROR(SUMIFS(Ventas!$K:$K,Ventas!$D:$D,Servicios!$A$13),0)</f>
        <v>346500</v>
      </c>
      <c r="F42" s="207">
        <f>IFERROR(SUMIFS(Ventas!$M:$M,Ventas!$D:$D,Servicios!$A$13),0)</f>
        <v>249480</v>
      </c>
      <c r="G42" s="208">
        <f t="shared" si="0"/>
        <v>37422</v>
      </c>
      <c r="H42" s="67"/>
      <c r="I42" s="67"/>
      <c r="J42" s="68"/>
      <c r="K42" s="1"/>
    </row>
    <row r="43" spans="1:11" ht="16.05" customHeight="1" x14ac:dyDescent="0.3">
      <c r="A43" s="1"/>
      <c r="B43" s="213" t="str">
        <f>IFERROR(INDEX(Servicios!$B:$B,14),"")</f>
        <v>Barba y perfilado</v>
      </c>
      <c r="C43" s="201">
        <f>IFERROR(COUNTIFS(Ventas!$D:$D,Servicios!$A$14),0)</f>
        <v>24</v>
      </c>
      <c r="D43" s="206">
        <f>IFERROR(SUMIFS(Ventas!$H:$H,Ventas!$D:$D,Servicios!$A$14)/60,0)</f>
        <v>10</v>
      </c>
      <c r="E43" s="207">
        <f>IFERROR(SUMIFS(Ventas!$K:$K,Ventas!$D:$D,Servicios!$A$14),0)</f>
        <v>469000</v>
      </c>
      <c r="F43" s="207">
        <f>IFERROR(SUMIFS(Ventas!$M:$M,Ventas!$D:$D,Servicios!$A$14),0)</f>
        <v>318920</v>
      </c>
      <c r="G43" s="208">
        <f t="shared" si="0"/>
        <v>31892</v>
      </c>
      <c r="H43" s="67"/>
      <c r="I43" s="67"/>
      <c r="J43" s="68"/>
      <c r="K43" s="1"/>
    </row>
    <row r="44" spans="1:11" ht="16.05" customHeight="1" x14ac:dyDescent="0.3">
      <c r="A44" s="1"/>
      <c r="B44" s="213" t="str">
        <f>IFERROR(INDEX(Servicios!$B:$B,15),"")</f>
        <v>Corte caballero + barba</v>
      </c>
      <c r="C44" s="201">
        <f>IFERROR(COUNTIFS(Ventas!$D:$D,Servicios!$A$15),0)</f>
        <v>19</v>
      </c>
      <c r="D44" s="206">
        <f>IFERROR(SUMIFS(Ventas!$H:$H,Ventas!$D:$D,Servicios!$A$15)/60,0)</f>
        <v>15.833333333333334</v>
      </c>
      <c r="E44" s="207">
        <f>IFERROR(SUMIFS(Ventas!$K:$K,Ventas!$D:$D,Servicios!$A$15),0)</f>
        <v>787500</v>
      </c>
      <c r="F44" s="207">
        <f>IFERROR(SUMIFS(Ventas!$M:$M,Ventas!$D:$D,Servicios!$A$15),0)</f>
        <v>535500</v>
      </c>
      <c r="G44" s="208">
        <f t="shared" si="0"/>
        <v>33821.052631578947</v>
      </c>
      <c r="H44" s="67"/>
      <c r="I44" s="67"/>
      <c r="J44" s="68"/>
      <c r="K44" s="1"/>
    </row>
    <row r="45" spans="1:11" ht="16.05" customHeight="1" x14ac:dyDescent="0.3">
      <c r="A45" s="1"/>
      <c r="B45" s="213" t="str">
        <f>IFERROR(INDEX(Servicios!$B:$B,16),"")</f>
        <v>Retoque de color</v>
      </c>
      <c r="C45" s="201">
        <f>IFERROR(COUNTIFS(Ventas!$D:$D,Servicios!$A$16),0)</f>
        <v>13</v>
      </c>
      <c r="D45" s="206">
        <f>IFERROR(SUMIFS(Ventas!$H:$H,Ventas!$D:$D,Servicios!$A$16)/60,0)</f>
        <v>13</v>
      </c>
      <c r="E45" s="207">
        <f>IFERROR(SUMIFS(Ventas!$K:$K,Ventas!$D:$D,Servicios!$A$16),0)</f>
        <v>960000</v>
      </c>
      <c r="F45" s="207">
        <f>IFERROR(SUMIFS(Ventas!$M:$M,Ventas!$D:$D,Servicios!$A$16),0)</f>
        <v>593852</v>
      </c>
      <c r="G45" s="208">
        <f t="shared" si="0"/>
        <v>45680.923076923078</v>
      </c>
      <c r="H45" s="67"/>
      <c r="I45" s="67"/>
      <c r="J45" s="68"/>
      <c r="K45" s="1"/>
    </row>
    <row r="46" spans="1:11" ht="18" customHeight="1" x14ac:dyDescent="0.3">
      <c r="A46" s="1"/>
      <c r="B46" s="69" t="s">
        <v>32</v>
      </c>
      <c r="C46" s="209">
        <f>SUM(C34:C45)</f>
        <v>245</v>
      </c>
      <c r="D46" s="210">
        <f>SUM(D34:D45)</f>
        <v>183.5</v>
      </c>
      <c r="E46" s="211">
        <f>SUM(E34:E45)</f>
        <v>11741000</v>
      </c>
      <c r="F46" s="211">
        <f>SUM(F34:F45)</f>
        <v>7814307</v>
      </c>
      <c r="G46" s="212">
        <f t="shared" si="0"/>
        <v>42584.779291553132</v>
      </c>
      <c r="H46" s="69"/>
      <c r="I46" s="69"/>
      <c r="J46" s="69"/>
      <c r="K46" s="1"/>
    </row>
    <row r="47" spans="1:11" ht="16.05" customHeight="1" x14ac:dyDescent="0.3">
      <c r="A47" s="1"/>
      <c r="B47" s="25"/>
      <c r="C47" s="26"/>
      <c r="D47" s="26"/>
      <c r="E47" s="26"/>
      <c r="F47" s="26"/>
      <c r="G47" s="26"/>
      <c r="H47" s="26"/>
      <c r="I47" s="26"/>
      <c r="J47" s="27"/>
      <c r="K47" s="1"/>
    </row>
    <row r="48" spans="1:11" ht="19.05" customHeight="1" x14ac:dyDescent="0.3">
      <c r="A48" s="1"/>
      <c r="B48" s="70" t="s">
        <v>33</v>
      </c>
      <c r="C48" s="71"/>
      <c r="D48" s="71"/>
      <c r="E48" s="71"/>
      <c r="F48" s="71"/>
      <c r="G48" s="71"/>
      <c r="H48" s="71"/>
      <c r="I48" s="71"/>
      <c r="J48" s="72"/>
      <c r="K48" s="1"/>
    </row>
    <row r="49" spans="1:11" ht="3" customHeight="1" x14ac:dyDescent="0.3">
      <c r="A49" s="1"/>
      <c r="B49" s="16"/>
      <c r="C49" s="73"/>
      <c r="D49" s="73"/>
      <c r="E49" s="73"/>
      <c r="F49" s="73"/>
      <c r="G49" s="73"/>
      <c r="H49" s="73"/>
      <c r="I49" s="73"/>
      <c r="J49" s="17"/>
      <c r="K49" s="1"/>
    </row>
    <row r="50" spans="1:11" x14ac:dyDescent="0.3">
      <c r="A50" s="1"/>
      <c r="B50" s="25"/>
      <c r="C50" s="26"/>
      <c r="D50" s="26"/>
      <c r="E50" s="26"/>
      <c r="F50" s="26"/>
      <c r="G50" s="26"/>
      <c r="H50" s="26"/>
      <c r="I50" s="26"/>
      <c r="J50" s="27"/>
      <c r="K50" s="1"/>
    </row>
    <row r="51" spans="1:11" ht="31.05" customHeight="1" x14ac:dyDescent="0.3">
      <c r="A51" s="1"/>
      <c r="B51" s="74" t="s">
        <v>34</v>
      </c>
      <c r="C51" s="75"/>
      <c r="D51" s="76"/>
      <c r="E51" s="76"/>
      <c r="F51" s="76"/>
      <c r="G51" s="77" t="s">
        <v>35</v>
      </c>
      <c r="H51" s="77"/>
      <c r="I51" s="77"/>
      <c r="J51" s="78"/>
      <c r="K51" s="1"/>
    </row>
    <row r="52" spans="1:11" ht="9" customHeight="1" x14ac:dyDescent="0.3">
      <c r="A52" s="1"/>
      <c r="B52" s="25"/>
      <c r="C52" s="26"/>
      <c r="D52" s="26"/>
      <c r="E52" s="26"/>
      <c r="F52" s="26"/>
      <c r="G52" s="26"/>
      <c r="H52" s="26"/>
      <c r="I52" s="26"/>
      <c r="J52" s="27"/>
      <c r="K52" s="1"/>
    </row>
    <row r="53" spans="1:11" ht="22.2" customHeight="1" x14ac:dyDescent="0.3">
      <c r="A53" s="1"/>
      <c r="B53" s="79" t="s">
        <v>36</v>
      </c>
      <c r="C53" s="80" t="s">
        <v>37</v>
      </c>
      <c r="D53" s="81" t="s">
        <v>38</v>
      </c>
      <c r="E53" s="82"/>
      <c r="F53" s="82"/>
      <c r="G53" s="80" t="s">
        <v>39</v>
      </c>
      <c r="H53" s="81" t="s">
        <v>37</v>
      </c>
      <c r="I53" s="81" t="s">
        <v>38</v>
      </c>
      <c r="J53" s="83"/>
      <c r="K53" s="1"/>
    </row>
    <row r="54" spans="1:11" x14ac:dyDescent="0.3">
      <c r="A54" s="1"/>
      <c r="B54" s="54" t="s">
        <v>40</v>
      </c>
      <c r="C54" s="214">
        <f>IFERROR(SUMIFS(Ventas!$H:$H,Ventas!$B:$B,$B54)/60,0)</f>
        <v>21.166666666666668</v>
      </c>
      <c r="D54" s="215">
        <f>IFERROR(COUNTIFS(Ventas!$B:$B,$B54),0)</f>
        <v>27</v>
      </c>
      <c r="E54" s="55"/>
      <c r="F54" s="55"/>
      <c r="G54" s="67" t="s">
        <v>41</v>
      </c>
      <c r="H54" s="218">
        <f>IFERROR(SUMIFS(Ventas!$H:$H,Ventas!$G:$G,$G54)/60,0)</f>
        <v>128.33333333333334</v>
      </c>
      <c r="I54" s="215">
        <f>IFERROR(COUNTIFS(Ventas!$G:$G,$G54),0)</f>
        <v>156</v>
      </c>
      <c r="J54" s="68"/>
      <c r="K54" s="1"/>
    </row>
    <row r="55" spans="1:11" x14ac:dyDescent="0.3">
      <c r="A55" s="1"/>
      <c r="B55" s="56" t="s">
        <v>42</v>
      </c>
      <c r="C55" s="216">
        <f>IFERROR(SUMIFS(Ventas!$H:$H,Ventas!$B:$B,$B55)/60,0)</f>
        <v>55.833333333333336</v>
      </c>
      <c r="D55" s="217">
        <f>IFERROR(COUNTIFS(Ventas!$B:$B,$B55),0)</f>
        <v>73</v>
      </c>
      <c r="E55" s="57"/>
      <c r="F55" s="57"/>
      <c r="G55" s="84" t="s">
        <v>43</v>
      </c>
      <c r="H55" s="219">
        <f>IFERROR(SUMIFS(Ventas!$H:$H,Ventas!$G:$G,$G55)/60,0)</f>
        <v>84.083333333333329</v>
      </c>
      <c r="I55" s="217">
        <f>IFERROR(COUNTIFS(Ventas!$G:$G,$G55),0)</f>
        <v>121</v>
      </c>
      <c r="J55" s="85"/>
      <c r="K55" s="1"/>
    </row>
    <row r="56" spans="1:11" x14ac:dyDescent="0.3">
      <c r="A56" s="1"/>
      <c r="B56" s="54" t="s">
        <v>44</v>
      </c>
      <c r="C56" s="214">
        <f>IFERROR(SUMIFS(Ventas!$H:$H,Ventas!$B:$B,$B56)/60,0)</f>
        <v>33.5</v>
      </c>
      <c r="D56" s="215">
        <f>IFERROR(COUNTIFS(Ventas!$B:$B,$B56),0)</f>
        <v>45</v>
      </c>
      <c r="E56" s="55"/>
      <c r="F56" s="55"/>
      <c r="G56" s="67" t="s">
        <v>45</v>
      </c>
      <c r="H56" s="218">
        <f>IFERROR(SUMIFS(Ventas!$H:$H,Ventas!$G:$G,$G56)/60,0)</f>
        <v>19.166666666666668</v>
      </c>
      <c r="I56" s="215">
        <f>IFERROR(COUNTIFS(Ventas!$G:$G,$G56),0)</f>
        <v>26</v>
      </c>
      <c r="J56" s="68"/>
      <c r="K56" s="1"/>
    </row>
    <row r="57" spans="1:11" x14ac:dyDescent="0.3">
      <c r="A57" s="1"/>
      <c r="B57" s="56" t="s">
        <v>46</v>
      </c>
      <c r="C57" s="216">
        <f>IFERROR(SUMIFS(Ventas!$H:$H,Ventas!$B:$B,$B57)/60,0)</f>
        <v>46.833333333333336</v>
      </c>
      <c r="D57" s="217">
        <f>IFERROR(COUNTIFS(Ventas!$B:$B,$B57),0)</f>
        <v>60</v>
      </c>
      <c r="E57" s="57"/>
      <c r="F57" s="57"/>
      <c r="G57" s="86" t="s">
        <v>48</v>
      </c>
      <c r="H57" s="86"/>
      <c r="I57" s="86"/>
      <c r="J57" s="87"/>
      <c r="K57" s="1"/>
    </row>
    <row r="58" spans="1:11" ht="14.4" customHeight="1" x14ac:dyDescent="0.3">
      <c r="A58" s="1"/>
      <c r="B58" s="54" t="s">
        <v>47</v>
      </c>
      <c r="C58" s="214">
        <f>IFERROR(SUMIFS(Ventas!$H:$H,Ventas!$B:$B,$B58)/60,0)</f>
        <v>27.083333333333332</v>
      </c>
      <c r="D58" s="215">
        <f>IFERROR(COUNTIFS(Ventas!$B:$B,$B58),0)</f>
        <v>40</v>
      </c>
      <c r="E58" s="55"/>
      <c r="F58" s="55"/>
      <c r="G58" s="86"/>
      <c r="H58" s="86"/>
      <c r="I58" s="86"/>
      <c r="J58" s="87"/>
      <c r="K58" s="1"/>
    </row>
    <row r="59" spans="1:11" x14ac:dyDescent="0.3">
      <c r="A59" s="1"/>
      <c r="B59" s="56" t="s">
        <v>49</v>
      </c>
      <c r="C59" s="216">
        <f>IFERROR(SUMIFS(Ventas!$H:$H,Ventas!$B:$B,$B59)/60,0)</f>
        <v>48.166666666666664</v>
      </c>
      <c r="D59" s="217">
        <f>IFERROR(COUNTIFS(Ventas!$B:$B,$B59),0)</f>
        <v>61</v>
      </c>
      <c r="E59" s="57"/>
      <c r="F59" s="57"/>
      <c r="G59" s="86"/>
      <c r="H59" s="86"/>
      <c r="I59" s="86"/>
      <c r="J59" s="87"/>
      <c r="K59" s="1"/>
    </row>
    <row r="60" spans="1:11" x14ac:dyDescent="0.3">
      <c r="A60" s="1"/>
      <c r="B60" s="54" t="s">
        <v>50</v>
      </c>
      <c r="C60" s="214">
        <f>IFERROR(SUMIFS(Ventas!$H:$H,Ventas!$B:$B,$B60)/60,0)</f>
        <v>24.416666666666668</v>
      </c>
      <c r="D60" s="215">
        <f>IFERROR(COUNTIFS(Ventas!$B:$B,$B60),0)</f>
        <v>32</v>
      </c>
      <c r="E60" s="55"/>
      <c r="F60" s="55"/>
      <c r="G60" s="86"/>
      <c r="H60" s="86"/>
      <c r="I60" s="86"/>
      <c r="J60" s="87"/>
      <c r="K60" s="1"/>
    </row>
    <row r="61" spans="1:11" ht="7.05" customHeight="1" x14ac:dyDescent="0.3">
      <c r="A61" s="1"/>
      <c r="B61" s="41"/>
      <c r="C61" s="42"/>
      <c r="D61" s="42"/>
      <c r="E61" s="42"/>
      <c r="F61" s="42"/>
      <c r="G61" s="42"/>
      <c r="H61" s="42"/>
      <c r="I61" s="42"/>
      <c r="J61" s="43"/>
      <c r="K61" s="1"/>
    </row>
    <row r="62" spans="1:11" ht="3" customHeight="1" x14ac:dyDescent="0.3">
      <c r="A62" s="1"/>
      <c r="B62" s="44"/>
      <c r="C62" s="88"/>
      <c r="D62" s="88"/>
      <c r="E62" s="88"/>
      <c r="F62" s="88"/>
      <c r="G62" s="88"/>
      <c r="H62" s="88"/>
      <c r="I62" s="88"/>
      <c r="J62" s="45"/>
      <c r="K62" s="1"/>
    </row>
    <row r="63" spans="1:11" x14ac:dyDescent="0.3">
      <c r="A63" s="1"/>
      <c r="B63" s="25"/>
      <c r="C63" s="26"/>
      <c r="D63" s="26"/>
      <c r="E63" s="26"/>
      <c r="F63" s="26"/>
      <c r="G63" s="26"/>
      <c r="H63" s="26"/>
      <c r="I63" s="26"/>
      <c r="J63" s="27"/>
      <c r="K63" s="1"/>
    </row>
    <row r="64" spans="1:11" ht="21" customHeight="1" x14ac:dyDescent="0.3">
      <c r="A64" s="1"/>
      <c r="B64" s="61" t="s">
        <v>51</v>
      </c>
      <c r="C64" s="4"/>
      <c r="D64" s="4"/>
      <c r="E64" s="4"/>
      <c r="F64" s="4"/>
      <c r="G64" s="4"/>
      <c r="H64" s="4"/>
      <c r="I64" s="4"/>
      <c r="J64" s="53"/>
      <c r="K64" s="1"/>
    </row>
    <row r="65" spans="1:11" ht="16.05" customHeight="1" x14ac:dyDescent="0.3">
      <c r="A65" s="1"/>
      <c r="B65" s="25"/>
      <c r="C65" s="26"/>
      <c r="D65" s="26"/>
      <c r="E65" s="26"/>
      <c r="F65" s="26"/>
      <c r="G65" s="26"/>
      <c r="H65" s="26"/>
      <c r="I65" s="26"/>
      <c r="J65" s="27"/>
      <c r="K65" s="1"/>
    </row>
    <row r="66" spans="1:11" ht="37.799999999999997" customHeight="1" x14ac:dyDescent="0.3">
      <c r="A66" s="1"/>
      <c r="B66" s="89" t="s">
        <v>52</v>
      </c>
      <c r="C66" s="90"/>
      <c r="D66" s="64" t="s">
        <v>53</v>
      </c>
      <c r="E66" s="64" t="s">
        <v>334</v>
      </c>
      <c r="F66" s="64" t="s">
        <v>54</v>
      </c>
      <c r="G66" s="64" t="s">
        <v>29</v>
      </c>
      <c r="H66" s="64" t="s">
        <v>30</v>
      </c>
      <c r="I66" s="91"/>
      <c r="J66" s="92"/>
      <c r="K66" s="1"/>
    </row>
    <row r="67" spans="1:11" ht="16.05" customHeight="1" x14ac:dyDescent="0.3">
      <c r="A67" s="1"/>
      <c r="B67" s="222" t="str">
        <f>IFERROR(INDEX(Profesionales!$B:$B,5),"")</f>
        <v>Ana Ramírez</v>
      </c>
      <c r="C67" s="93"/>
      <c r="D67" s="214">
        <f>IFERROR(INDEX(Profesionales!$G:$G,5),0)</f>
        <v>108</v>
      </c>
      <c r="E67" s="218">
        <f>IFERROR(SUMIFS(Ventas!$H:$H,Ventas!$C:$C,Profesionales!$A$5)/60,0)</f>
        <v>50.666666666666664</v>
      </c>
      <c r="F67" s="192">
        <f t="shared" ref="F67:F73" si="1">IFERROR(E67/D67,0)</f>
        <v>0.46913580246913578</v>
      </c>
      <c r="G67" s="207">
        <f>IFERROR(SUMIFS(Ventas!$K:$K,Ventas!$C:$C,Profesionales!$A$5),0)</f>
        <v>3529300</v>
      </c>
      <c r="H67" s="207">
        <f>IFERROR(SUMIFS(Ventas!$M:$M,Ventas!$C:$C,Profesionales!$A$5),0)</f>
        <v>2353492</v>
      </c>
      <c r="I67" s="67"/>
      <c r="J67" s="68"/>
      <c r="K67" s="1"/>
    </row>
    <row r="68" spans="1:11" ht="16.05" customHeight="1" x14ac:dyDescent="0.3">
      <c r="A68" s="1"/>
      <c r="B68" s="223" t="str">
        <f>IFERROR(INDEX(Profesionales!$B:$B,6),"")</f>
        <v>Carlos Díaz</v>
      </c>
      <c r="C68" s="94"/>
      <c r="D68" s="216">
        <f>IFERROR(INDEX(Profesionales!$G:$G,6),0)</f>
        <v>108</v>
      </c>
      <c r="E68" s="219">
        <f>IFERROR(SUMIFS(Ventas!$H:$H,Ventas!$C:$C,Profesionales!$A$6)/60,0)</f>
        <v>36.5</v>
      </c>
      <c r="F68" s="195">
        <f t="shared" si="1"/>
        <v>0.33796296296296297</v>
      </c>
      <c r="G68" s="220">
        <f>IFERROR(SUMIFS(Ventas!$K:$K,Ventas!$C:$C,Profesionales!$A$6),0)</f>
        <v>2250000</v>
      </c>
      <c r="H68" s="220">
        <f>IFERROR(SUMIFS(Ventas!$M:$M,Ventas!$C:$C,Profesionales!$A$6),0)</f>
        <v>1547720</v>
      </c>
      <c r="I68" s="84"/>
      <c r="J68" s="85"/>
      <c r="K68" s="1"/>
    </row>
    <row r="69" spans="1:11" ht="16.05" customHeight="1" x14ac:dyDescent="0.3">
      <c r="A69" s="1"/>
      <c r="B69" s="222" t="str">
        <f>IFERROR(INDEX(Profesionales!$B:$B,7),"")</f>
        <v>Lucía Peña</v>
      </c>
      <c r="C69" s="93"/>
      <c r="D69" s="214">
        <f>IFERROR(INDEX(Profesionales!$G:$G,7),0)</f>
        <v>80</v>
      </c>
      <c r="E69" s="218">
        <f>IFERROR(SUMIFS(Ventas!$H:$H,Ventas!$C:$C,Profesionales!$A$7)/60,0)</f>
        <v>42.25</v>
      </c>
      <c r="F69" s="192">
        <f t="shared" si="1"/>
        <v>0.52812499999999996</v>
      </c>
      <c r="G69" s="207">
        <f>IFERROR(SUMIFS(Ventas!$K:$K,Ventas!$C:$C,Profesionales!$A$7),0)</f>
        <v>3869750</v>
      </c>
      <c r="H69" s="207">
        <f>IFERROR(SUMIFS(Ventas!$M:$M,Ventas!$C:$C,Profesionales!$A$7),0)</f>
        <v>2338285</v>
      </c>
      <c r="I69" s="67"/>
      <c r="J69" s="68"/>
      <c r="K69" s="1"/>
    </row>
    <row r="70" spans="1:11" ht="16.05" customHeight="1" x14ac:dyDescent="0.3">
      <c r="A70" s="1"/>
      <c r="B70" s="223" t="str">
        <f>IFERROR(INDEX(Profesionales!$B:$B,8),"")</f>
        <v>Sara Gómez</v>
      </c>
      <c r="C70" s="94"/>
      <c r="D70" s="216">
        <f>IFERROR(INDEX(Profesionales!$G:$G,8),0)</f>
        <v>96</v>
      </c>
      <c r="E70" s="219">
        <f>IFERROR(SUMIFS(Ventas!$H:$H,Ventas!$C:$C,Profesionales!$A$8)/60,0)</f>
        <v>31.5</v>
      </c>
      <c r="F70" s="195">
        <f t="shared" si="1"/>
        <v>0.328125</v>
      </c>
      <c r="G70" s="220">
        <f>IFERROR(SUMIFS(Ventas!$K:$K,Ventas!$C:$C,Profesionales!$A$8),0)</f>
        <v>1470000</v>
      </c>
      <c r="H70" s="220">
        <f>IFERROR(SUMIFS(Ventas!$M:$M,Ventas!$C:$C,Profesionales!$A$8),0)</f>
        <v>1081080</v>
      </c>
      <c r="I70" s="84"/>
      <c r="J70" s="85"/>
      <c r="K70" s="1"/>
    </row>
    <row r="71" spans="1:11" ht="16.05" customHeight="1" x14ac:dyDescent="0.3">
      <c r="A71" s="1"/>
      <c r="B71" s="222" t="str">
        <f>IFERROR(INDEX(Profesionales!$B:$B,9),"")</f>
        <v>Laura Cifuentes</v>
      </c>
      <c r="C71" s="93"/>
      <c r="D71" s="214">
        <f>IFERROR(INDEX(Profesionales!$G:$G,9),0)</f>
        <v>192</v>
      </c>
      <c r="E71" s="218">
        <f>IFERROR(SUMIFS(Ventas!$H:$H,Ventas!$C:$C,Profesionales!$A$9)/60,0)</f>
        <v>24.416666666666668</v>
      </c>
      <c r="F71" s="192">
        <f t="shared" si="1"/>
        <v>0.1271701388888889</v>
      </c>
      <c r="G71" s="207">
        <f>IFERROR(SUMIFS(Ventas!$K:$K,Ventas!$C:$C,Profesionales!$A$9),0)</f>
        <v>1732000</v>
      </c>
      <c r="H71" s="207">
        <f>IFERROR(SUMIFS(Ventas!$M:$M,Ventas!$C:$C,Profesionales!$A$9),0)</f>
        <v>1084923</v>
      </c>
      <c r="I71" s="67"/>
      <c r="J71" s="68"/>
      <c r="K71" s="1"/>
    </row>
    <row r="72" spans="1:11" ht="16.05" customHeight="1" x14ac:dyDescent="0.3">
      <c r="A72" s="1"/>
      <c r="B72" s="223" t="str">
        <f>IFERROR(INDEX(Profesionales!$B:$B,10),"")</f>
        <v>Diego Peña</v>
      </c>
      <c r="C72" s="94"/>
      <c r="D72" s="216">
        <f>IFERROR(INDEX(Profesionales!$G:$G,10),0)</f>
        <v>234</v>
      </c>
      <c r="E72" s="219">
        <f>IFERROR(SUMIFS(Ventas!$H:$H,Ventas!$C:$C,Profesionales!$A$10)/60,0)</f>
        <v>29.583333333333332</v>
      </c>
      <c r="F72" s="195">
        <f t="shared" si="1"/>
        <v>0.12642450142450143</v>
      </c>
      <c r="G72" s="220">
        <f>IFERROR(SUMIFS(Ventas!$K:$K,Ventas!$C:$C,Profesionales!$A$10),0)</f>
        <v>1452300</v>
      </c>
      <c r="H72" s="220">
        <f>IFERROR(SUMIFS(Ventas!$M:$M,Ventas!$C:$C,Profesionales!$A$10),0)</f>
        <v>995396</v>
      </c>
      <c r="I72" s="84"/>
      <c r="J72" s="85"/>
      <c r="K72" s="1"/>
    </row>
    <row r="73" spans="1:11" ht="16.05" customHeight="1" x14ac:dyDescent="0.3">
      <c r="A73" s="1"/>
      <c r="B73" s="222" t="str">
        <f>IFERROR(INDEX(Profesionales!$B:$B,11),"")</f>
        <v>Marcela Ruiz</v>
      </c>
      <c r="C73" s="93"/>
      <c r="D73" s="214">
        <f>IFERROR(INDEX(Profesionales!$G:$G,11),0)</f>
        <v>154</v>
      </c>
      <c r="E73" s="218">
        <f>IFERROR(SUMIFS(Ventas!$H:$H,Ventas!$C:$C,Profesionales!$A$11)/60,0)</f>
        <v>42.083333333333336</v>
      </c>
      <c r="F73" s="192">
        <f t="shared" si="1"/>
        <v>0.27326839826839827</v>
      </c>
      <c r="G73" s="207">
        <f>IFERROR(SUMIFS(Ventas!$K:$K,Ventas!$C:$C,Profesionales!$A$11),0)</f>
        <v>2247850</v>
      </c>
      <c r="H73" s="207">
        <f>IFERROR(SUMIFS(Ventas!$M:$M,Ventas!$C:$C,Profesionales!$A$11),0)</f>
        <v>1336989</v>
      </c>
      <c r="I73" s="67"/>
      <c r="J73" s="68"/>
      <c r="K73" s="1"/>
    </row>
    <row r="74" spans="1:11" ht="16.05" customHeight="1" x14ac:dyDescent="0.3">
      <c r="A74" s="1"/>
      <c r="B74" s="95"/>
      <c r="C74" s="96"/>
      <c r="D74" s="97"/>
      <c r="E74" s="98"/>
      <c r="F74" s="99"/>
      <c r="G74" s="221">
        <f>IFERROR(SUMIFS(Ventas!$K:$K,Ventas!$C:$C,Profesionales!$A$12),0)</f>
        <v>0</v>
      </c>
      <c r="H74" s="221">
        <f>IFERROR(SUMIFS(Ventas!$M:$M,Ventas!$C:$C,Profesionales!$A$12),0)</f>
        <v>0</v>
      </c>
      <c r="I74" s="65"/>
      <c r="J74" s="66"/>
      <c r="K74" s="1"/>
    </row>
    <row r="75" spans="1:11" ht="7.05" customHeight="1" x14ac:dyDescent="0.3">
      <c r="A75" s="1"/>
      <c r="B75" s="100"/>
      <c r="C75" s="101"/>
      <c r="D75" s="102"/>
      <c r="E75" s="102"/>
      <c r="F75" s="102"/>
      <c r="G75" s="102"/>
      <c r="H75" s="102"/>
      <c r="I75" s="102"/>
      <c r="J75" s="103"/>
      <c r="K75" s="1"/>
    </row>
    <row r="76" spans="1:11" ht="3" customHeight="1" x14ac:dyDescent="0.3">
      <c r="A76" s="1"/>
      <c r="B76" s="104"/>
      <c r="C76" s="105"/>
      <c r="D76" s="105"/>
      <c r="E76" s="105"/>
      <c r="F76" s="105"/>
      <c r="G76" s="105"/>
      <c r="H76" s="105"/>
      <c r="I76" s="105"/>
      <c r="J76" s="106"/>
      <c r="K76" s="1"/>
    </row>
    <row r="77" spans="1:11" ht="21" customHeight="1" x14ac:dyDescent="0.3">
      <c r="A77" s="1"/>
      <c r="B77" s="61" t="s">
        <v>55</v>
      </c>
      <c r="C77" s="4"/>
      <c r="D77" s="4"/>
      <c r="E77" s="4"/>
      <c r="F77" s="4"/>
      <c r="G77" s="4"/>
      <c r="H77" s="4"/>
      <c r="I77" s="4"/>
      <c r="J77" s="53"/>
      <c r="K77" s="1"/>
    </row>
    <row r="78" spans="1:11" ht="13.95" customHeight="1" x14ac:dyDescent="0.3">
      <c r="A78" s="1"/>
      <c r="B78" s="107"/>
      <c r="C78" s="4"/>
      <c r="D78" s="4"/>
      <c r="E78" s="4"/>
      <c r="F78" s="4"/>
      <c r="G78" s="4"/>
      <c r="H78" s="4"/>
      <c r="I78" s="4"/>
      <c r="J78" s="53"/>
      <c r="K78" s="1"/>
    </row>
    <row r="79" spans="1:11" x14ac:dyDescent="0.3">
      <c r="A79" s="1"/>
      <c r="B79" s="25"/>
      <c r="C79" s="26"/>
      <c r="D79" s="26"/>
      <c r="E79" s="26"/>
      <c r="F79" s="26"/>
      <c r="G79" s="26"/>
      <c r="H79" s="26"/>
      <c r="I79" s="26"/>
      <c r="J79" s="27"/>
      <c r="K79" s="1"/>
    </row>
    <row r="80" spans="1:11" x14ac:dyDescent="0.3">
      <c r="A80" s="1"/>
      <c r="B80" s="25"/>
      <c r="C80" s="26"/>
      <c r="D80" s="26"/>
      <c r="E80" s="26"/>
      <c r="F80" s="26"/>
      <c r="G80" s="26"/>
      <c r="H80" s="26"/>
      <c r="I80" s="26"/>
      <c r="J80" s="27"/>
      <c r="K80" s="1"/>
    </row>
    <row r="81" spans="1:11" x14ac:dyDescent="0.3">
      <c r="A81" s="1"/>
      <c r="B81" s="25"/>
      <c r="C81" s="26"/>
      <c r="D81" s="26"/>
      <c r="E81" s="26"/>
      <c r="F81" s="26"/>
      <c r="G81" s="26"/>
      <c r="H81" s="26"/>
      <c r="I81" s="26"/>
      <c r="J81" s="27"/>
      <c r="K81" s="1"/>
    </row>
    <row r="82" spans="1:11" x14ac:dyDescent="0.3">
      <c r="A82" s="1"/>
      <c r="B82" s="25"/>
      <c r="C82" s="26"/>
      <c r="D82" s="26"/>
      <c r="E82" s="26"/>
      <c r="F82" s="26"/>
      <c r="G82" s="26"/>
      <c r="H82" s="26"/>
      <c r="I82" s="26"/>
      <c r="J82" s="27"/>
      <c r="K82" s="1"/>
    </row>
    <row r="83" spans="1:11" x14ac:dyDescent="0.3">
      <c r="A83" s="1"/>
      <c r="B83" s="25"/>
      <c r="C83" s="26"/>
      <c r="D83" s="26"/>
      <c r="E83" s="26"/>
      <c r="F83" s="26"/>
      <c r="G83" s="26"/>
      <c r="H83" s="26"/>
      <c r="I83" s="26"/>
      <c r="J83" s="27"/>
      <c r="K83" s="1"/>
    </row>
    <row r="84" spans="1:11" x14ac:dyDescent="0.3">
      <c r="A84" s="1"/>
      <c r="B84" s="25"/>
      <c r="C84" s="26"/>
      <c r="D84" s="26"/>
      <c r="E84" s="26"/>
      <c r="F84" s="26"/>
      <c r="G84" s="26"/>
      <c r="H84" s="26"/>
      <c r="I84" s="26"/>
      <c r="J84" s="27"/>
      <c r="K84" s="1"/>
    </row>
    <row r="85" spans="1:11" x14ac:dyDescent="0.3">
      <c r="A85" s="1"/>
      <c r="B85" s="25"/>
      <c r="C85" s="26"/>
      <c r="D85" s="26"/>
      <c r="E85" s="26"/>
      <c r="F85" s="26"/>
      <c r="G85" s="26"/>
      <c r="H85" s="26"/>
      <c r="I85" s="26"/>
      <c r="J85" s="27"/>
      <c r="K85" s="1"/>
    </row>
    <row r="86" spans="1:11" x14ac:dyDescent="0.3">
      <c r="A86" s="1"/>
      <c r="B86" s="25"/>
      <c r="C86" s="26"/>
      <c r="D86" s="26"/>
      <c r="E86" s="26"/>
      <c r="F86" s="26"/>
      <c r="G86" s="26"/>
      <c r="H86" s="26"/>
      <c r="I86" s="26"/>
      <c r="J86" s="27"/>
      <c r="K86" s="1"/>
    </row>
    <row r="87" spans="1:11" x14ac:dyDescent="0.3">
      <c r="A87" s="1"/>
      <c r="B87" s="25"/>
      <c r="C87" s="26"/>
      <c r="D87" s="26"/>
      <c r="E87" s="26"/>
      <c r="F87" s="26"/>
      <c r="G87" s="26"/>
      <c r="H87" s="26"/>
      <c r="I87" s="26"/>
      <c r="J87" s="27"/>
      <c r="K87" s="1"/>
    </row>
    <row r="88" spans="1:11" x14ac:dyDescent="0.3">
      <c r="A88" s="1"/>
      <c r="B88" s="25"/>
      <c r="C88" s="26"/>
      <c r="D88" s="26"/>
      <c r="E88" s="26"/>
      <c r="F88" s="26"/>
      <c r="G88" s="26"/>
      <c r="H88" s="26"/>
      <c r="I88" s="26"/>
      <c r="J88" s="27"/>
      <c r="K88" s="1"/>
    </row>
    <row r="89" spans="1:11" x14ac:dyDescent="0.3">
      <c r="A89" s="1"/>
      <c r="B89" s="25"/>
      <c r="C89" s="26"/>
      <c r="D89" s="26"/>
      <c r="E89" s="26"/>
      <c r="F89" s="26"/>
      <c r="G89" s="26"/>
      <c r="H89" s="26"/>
      <c r="I89" s="26"/>
      <c r="J89" s="27"/>
      <c r="K89" s="1"/>
    </row>
    <row r="90" spans="1:11" x14ac:dyDescent="0.3">
      <c r="A90" s="1"/>
      <c r="B90" s="25"/>
      <c r="C90" s="26"/>
      <c r="D90" s="26"/>
      <c r="E90" s="26"/>
      <c r="F90" s="26"/>
      <c r="G90" s="26"/>
      <c r="H90" s="26"/>
      <c r="I90" s="26"/>
      <c r="J90" s="27"/>
      <c r="K90" s="1"/>
    </row>
    <row r="91" spans="1:11" x14ac:dyDescent="0.3">
      <c r="A91" s="1"/>
      <c r="B91" s="25"/>
      <c r="C91" s="26"/>
      <c r="D91" s="26"/>
      <c r="E91" s="26"/>
      <c r="F91" s="26"/>
      <c r="G91" s="26"/>
      <c r="H91" s="26"/>
      <c r="I91" s="26"/>
      <c r="J91" s="27"/>
      <c r="K91" s="1"/>
    </row>
    <row r="92" spans="1:11" x14ac:dyDescent="0.3">
      <c r="A92" s="1"/>
      <c r="B92" s="25"/>
      <c r="C92" s="26"/>
      <c r="D92" s="26"/>
      <c r="E92" s="26"/>
      <c r="F92" s="26"/>
      <c r="G92" s="26"/>
      <c r="H92" s="26"/>
      <c r="I92" s="26"/>
      <c r="J92" s="27"/>
      <c r="K92" s="1"/>
    </row>
    <row r="93" spans="1:11" x14ac:dyDescent="0.3">
      <c r="A93" s="1"/>
      <c r="B93" s="25"/>
      <c r="C93" s="26"/>
      <c r="D93" s="26"/>
      <c r="E93" s="26"/>
      <c r="F93" s="26"/>
      <c r="G93" s="26"/>
      <c r="H93" s="26"/>
      <c r="I93" s="26"/>
      <c r="J93" s="27"/>
      <c r="K93" s="1"/>
    </row>
    <row r="94" spans="1:11" x14ac:dyDescent="0.3">
      <c r="A94" s="1"/>
      <c r="B94" s="25"/>
      <c r="C94" s="26"/>
      <c r="D94" s="26"/>
      <c r="E94" s="26"/>
      <c r="F94" s="26"/>
      <c r="G94" s="26"/>
      <c r="H94" s="26"/>
      <c r="I94" s="26"/>
      <c r="J94" s="27"/>
      <c r="K94" s="1"/>
    </row>
    <row r="95" spans="1:11" x14ac:dyDescent="0.3">
      <c r="A95" s="1"/>
      <c r="B95" s="25"/>
      <c r="C95" s="26"/>
      <c r="D95" s="26"/>
      <c r="E95" s="26"/>
      <c r="F95" s="26"/>
      <c r="G95" s="26"/>
      <c r="H95" s="26"/>
      <c r="I95" s="26"/>
      <c r="J95" s="27"/>
      <c r="K95" s="1"/>
    </row>
    <row r="96" spans="1:11" x14ac:dyDescent="0.3">
      <c r="A96" s="1"/>
      <c r="B96" s="25"/>
      <c r="C96" s="26"/>
      <c r="D96" s="26"/>
      <c r="E96" s="26"/>
      <c r="F96" s="26"/>
      <c r="G96" s="26"/>
      <c r="H96" s="26"/>
      <c r="I96" s="26"/>
      <c r="J96" s="27"/>
      <c r="K96" s="1"/>
    </row>
    <row r="97" spans="1:11" x14ac:dyDescent="0.3">
      <c r="A97" s="1"/>
      <c r="B97" s="41"/>
      <c r="C97" s="42"/>
      <c r="D97" s="42"/>
      <c r="E97" s="42"/>
      <c r="F97" s="42"/>
      <c r="G97" s="42"/>
      <c r="H97" s="42"/>
      <c r="I97" s="42"/>
      <c r="J97" s="43"/>
      <c r="K97" s="1"/>
    </row>
    <row r="98" spans="1:11" x14ac:dyDescent="0.3">
      <c r="A98" s="1"/>
      <c r="B98" s="1"/>
      <c r="C98" s="1"/>
      <c r="D98" s="1"/>
      <c r="E98" s="1"/>
      <c r="F98" s="1"/>
      <c r="G98" s="1"/>
      <c r="H98" s="1"/>
      <c r="I98" s="1"/>
      <c r="J98" s="1"/>
      <c r="K98" s="1"/>
    </row>
    <row r="99" spans="1:11" ht="3" customHeight="1" x14ac:dyDescent="0.3">
      <c r="A99" s="1"/>
      <c r="B99" s="108"/>
      <c r="C99" s="109"/>
      <c r="D99" s="109"/>
      <c r="E99" s="109"/>
      <c r="F99" s="109"/>
      <c r="G99" s="109"/>
      <c r="H99" s="109"/>
      <c r="I99" s="109"/>
      <c r="J99" s="110"/>
      <c r="K99" s="1"/>
    </row>
    <row r="100" spans="1:11" ht="21" customHeight="1" x14ac:dyDescent="0.3">
      <c r="A100" s="1"/>
      <c r="B100" s="61" t="s">
        <v>335</v>
      </c>
      <c r="C100" s="4"/>
      <c r="D100" s="4"/>
      <c r="E100" s="4"/>
      <c r="F100" s="4"/>
      <c r="G100" s="4"/>
      <c r="H100" s="4"/>
      <c r="I100" s="4"/>
      <c r="J100" s="53"/>
      <c r="K100" s="1"/>
    </row>
    <row r="101" spans="1:11" ht="13.95" customHeight="1" x14ac:dyDescent="0.3">
      <c r="A101" s="1"/>
      <c r="B101" s="107"/>
      <c r="C101" s="4"/>
      <c r="D101" s="4"/>
      <c r="E101" s="4"/>
      <c r="F101" s="4"/>
      <c r="G101" s="4"/>
      <c r="H101" s="4"/>
      <c r="I101" s="4"/>
      <c r="J101" s="53"/>
      <c r="K101" s="1"/>
    </row>
    <row r="102" spans="1:11" x14ac:dyDescent="0.3">
      <c r="A102" s="1"/>
      <c r="B102" s="111"/>
      <c r="C102" s="112"/>
      <c r="D102" s="112"/>
      <c r="E102" s="112"/>
      <c r="F102" s="112"/>
      <c r="G102" s="112"/>
      <c r="H102" s="112"/>
      <c r="I102" s="112"/>
      <c r="J102" s="113"/>
      <c r="K102" s="1"/>
    </row>
    <row r="103" spans="1:11" x14ac:dyDescent="0.3">
      <c r="A103" s="1"/>
      <c r="B103" s="111"/>
      <c r="C103" s="112"/>
      <c r="D103" s="112"/>
      <c r="E103" s="112"/>
      <c r="F103" s="112"/>
      <c r="G103" s="112"/>
      <c r="H103" s="112"/>
      <c r="I103" s="112"/>
      <c r="J103" s="113"/>
      <c r="K103" s="1"/>
    </row>
    <row r="104" spans="1:11" x14ac:dyDescent="0.3">
      <c r="A104" s="1"/>
      <c r="B104" s="111"/>
      <c r="C104" s="112"/>
      <c r="D104" s="112"/>
      <c r="E104" s="112"/>
      <c r="F104" s="112"/>
      <c r="G104" s="112"/>
      <c r="H104" s="112"/>
      <c r="I104" s="112"/>
      <c r="J104" s="113"/>
      <c r="K104" s="1"/>
    </row>
    <row r="105" spans="1:11" x14ac:dyDescent="0.3">
      <c r="A105" s="1"/>
      <c r="B105" s="111"/>
      <c r="C105" s="112"/>
      <c r="D105" s="112"/>
      <c r="E105" s="112"/>
      <c r="F105" s="112"/>
      <c r="G105" s="112"/>
      <c r="H105" s="112"/>
      <c r="I105" s="112"/>
      <c r="J105" s="113"/>
      <c r="K105" s="1"/>
    </row>
    <row r="106" spans="1:11" x14ac:dyDescent="0.3">
      <c r="A106" s="1"/>
      <c r="B106" s="111"/>
      <c r="C106" s="112"/>
      <c r="D106" s="112"/>
      <c r="E106" s="112"/>
      <c r="F106" s="112"/>
      <c r="G106" s="112"/>
      <c r="H106" s="112"/>
      <c r="I106" s="112"/>
      <c r="J106" s="113"/>
      <c r="K106" s="1"/>
    </row>
    <row r="107" spans="1:11" x14ac:dyDescent="0.3">
      <c r="A107" s="1"/>
      <c r="B107" s="111"/>
      <c r="C107" s="112"/>
      <c r="D107" s="112"/>
      <c r="E107" s="112"/>
      <c r="F107" s="112"/>
      <c r="G107" s="112"/>
      <c r="H107" s="112"/>
      <c r="I107" s="112"/>
      <c r="J107" s="113"/>
      <c r="K107" s="1"/>
    </row>
    <row r="108" spans="1:11" x14ac:dyDescent="0.3">
      <c r="A108" s="1"/>
      <c r="B108" s="111"/>
      <c r="C108" s="112"/>
      <c r="D108" s="112"/>
      <c r="E108" s="112"/>
      <c r="F108" s="112"/>
      <c r="G108" s="112"/>
      <c r="H108" s="112"/>
      <c r="I108" s="112"/>
      <c r="J108" s="113"/>
      <c r="K108" s="1"/>
    </row>
    <row r="109" spans="1:11" x14ac:dyDescent="0.3">
      <c r="A109" s="1"/>
      <c r="B109" s="111"/>
      <c r="C109" s="112"/>
      <c r="D109" s="112"/>
      <c r="E109" s="112"/>
      <c r="F109" s="112"/>
      <c r="G109" s="112"/>
      <c r="H109" s="112"/>
      <c r="I109" s="112"/>
      <c r="J109" s="113"/>
      <c r="K109" s="1"/>
    </row>
    <row r="110" spans="1:11" x14ac:dyDescent="0.3">
      <c r="A110" s="1"/>
      <c r="B110" s="111"/>
      <c r="C110" s="112"/>
      <c r="D110" s="112"/>
      <c r="E110" s="112"/>
      <c r="F110" s="112"/>
      <c r="G110" s="112"/>
      <c r="H110" s="112"/>
      <c r="I110" s="112"/>
      <c r="J110" s="113"/>
      <c r="K110" s="1"/>
    </row>
    <row r="111" spans="1:11" x14ac:dyDescent="0.3">
      <c r="A111" s="1"/>
      <c r="B111" s="111"/>
      <c r="C111" s="112"/>
      <c r="D111" s="112"/>
      <c r="E111" s="112"/>
      <c r="F111" s="112"/>
      <c r="G111" s="112"/>
      <c r="H111" s="112"/>
      <c r="I111" s="112"/>
      <c r="J111" s="113"/>
      <c r="K111" s="1"/>
    </row>
    <row r="112" spans="1:11" x14ac:dyDescent="0.3">
      <c r="A112" s="1"/>
      <c r="B112" s="111"/>
      <c r="C112" s="112"/>
      <c r="D112" s="112"/>
      <c r="E112" s="112"/>
      <c r="F112" s="112"/>
      <c r="G112" s="112"/>
      <c r="H112" s="112"/>
      <c r="I112" s="112"/>
      <c r="J112" s="113"/>
      <c r="K112" s="1"/>
    </row>
    <row r="113" spans="1:11" x14ac:dyDescent="0.3">
      <c r="A113" s="1"/>
      <c r="B113" s="111"/>
      <c r="C113" s="112"/>
      <c r="D113" s="112"/>
      <c r="E113" s="112"/>
      <c r="F113" s="112"/>
      <c r="G113" s="112"/>
      <c r="H113" s="112"/>
      <c r="I113" s="112"/>
      <c r="J113" s="113"/>
      <c r="K113" s="1"/>
    </row>
    <row r="114" spans="1:11" x14ac:dyDescent="0.3">
      <c r="A114" s="1"/>
      <c r="B114" s="111"/>
      <c r="C114" s="112"/>
      <c r="D114" s="112"/>
      <c r="E114" s="112"/>
      <c r="F114" s="112"/>
      <c r="G114" s="112"/>
      <c r="H114" s="112"/>
      <c r="I114" s="112"/>
      <c r="J114" s="113"/>
      <c r="K114" s="1"/>
    </row>
    <row r="115" spans="1:11" x14ac:dyDescent="0.3">
      <c r="A115" s="1"/>
      <c r="B115" s="111"/>
      <c r="C115" s="112"/>
      <c r="D115" s="112"/>
      <c r="E115" s="112"/>
      <c r="F115" s="112"/>
      <c r="G115" s="112"/>
      <c r="H115" s="112"/>
      <c r="I115" s="112"/>
      <c r="J115" s="113"/>
      <c r="K115" s="1"/>
    </row>
    <row r="116" spans="1:11" x14ac:dyDescent="0.3">
      <c r="A116" s="1"/>
      <c r="B116" s="111"/>
      <c r="C116" s="112"/>
      <c r="D116" s="112"/>
      <c r="E116" s="112"/>
      <c r="F116" s="112"/>
      <c r="G116" s="112"/>
      <c r="H116" s="112"/>
      <c r="I116" s="112"/>
      <c r="J116" s="113"/>
      <c r="K116" s="1"/>
    </row>
    <row r="117" spans="1:11" x14ac:dyDescent="0.3">
      <c r="A117" s="1"/>
      <c r="B117" s="111"/>
      <c r="C117" s="112"/>
      <c r="D117" s="112"/>
      <c r="E117" s="112"/>
      <c r="F117" s="112"/>
      <c r="G117" s="112"/>
      <c r="H117" s="112"/>
      <c r="I117" s="112"/>
      <c r="J117" s="113"/>
      <c r="K117" s="1"/>
    </row>
    <row r="118" spans="1:11" x14ac:dyDescent="0.3">
      <c r="A118" s="1"/>
      <c r="B118" s="111"/>
      <c r="C118" s="112"/>
      <c r="D118" s="112"/>
      <c r="E118" s="112"/>
      <c r="F118" s="112"/>
      <c r="G118" s="112"/>
      <c r="H118" s="112"/>
      <c r="I118" s="112"/>
      <c r="J118" s="113"/>
      <c r="K118" s="1"/>
    </row>
    <row r="119" spans="1:11" x14ac:dyDescent="0.3">
      <c r="A119" s="1"/>
      <c r="B119" s="111"/>
      <c r="C119" s="112"/>
      <c r="D119" s="112"/>
      <c r="E119" s="112"/>
      <c r="F119" s="112"/>
      <c r="G119" s="112"/>
      <c r="H119" s="112"/>
      <c r="I119" s="112"/>
      <c r="J119" s="113"/>
      <c r="K119" s="1"/>
    </row>
    <row r="120" spans="1:11" x14ac:dyDescent="0.3">
      <c r="A120" s="1"/>
      <c r="B120" s="111"/>
      <c r="C120" s="112"/>
      <c r="D120" s="112"/>
      <c r="E120" s="112"/>
      <c r="F120" s="112"/>
      <c r="G120" s="112"/>
      <c r="H120" s="112"/>
      <c r="I120" s="112"/>
      <c r="J120" s="113"/>
      <c r="K120" s="1"/>
    </row>
    <row r="121" spans="1:11" x14ac:dyDescent="0.3">
      <c r="A121" s="1"/>
      <c r="B121" s="114"/>
      <c r="C121" s="115"/>
      <c r="D121" s="115"/>
      <c r="E121" s="115"/>
      <c r="F121" s="115"/>
      <c r="G121" s="115"/>
      <c r="H121" s="115"/>
      <c r="I121" s="115"/>
      <c r="J121" s="116"/>
      <c r="K121" s="1"/>
    </row>
    <row r="122" spans="1:11" x14ac:dyDescent="0.3">
      <c r="A122" s="117" t="s">
        <v>56</v>
      </c>
      <c r="B122" s="117"/>
      <c r="C122" s="117"/>
      <c r="D122" s="117"/>
      <c r="E122" s="117"/>
      <c r="F122" s="117"/>
      <c r="G122" s="117"/>
      <c r="H122" s="117"/>
      <c r="I122" s="117"/>
      <c r="J122" s="117"/>
      <c r="K122" s="117"/>
    </row>
    <row r="123" spans="1:11" ht="15" customHeight="1" x14ac:dyDescent="0.3">
      <c r="A123" s="117"/>
      <c r="B123" s="117"/>
      <c r="C123" s="117"/>
      <c r="D123" s="117"/>
      <c r="E123" s="117"/>
      <c r="F123" s="117"/>
      <c r="G123" s="117"/>
      <c r="H123" s="117"/>
      <c r="I123" s="117"/>
      <c r="J123" s="117"/>
      <c r="K123" s="117"/>
    </row>
  </sheetData>
  <sheetProtection sheet="1" objects="1" scenarios="1" formatCells="0" formatColumns="0" formatRows="0" insertHyperlinks="0" sort="0" autoFilter="0"/>
  <mergeCells count="49">
    <mergeCell ref="B2:J2"/>
    <mergeCell ref="G13:J16"/>
    <mergeCell ref="E12:F12"/>
    <mergeCell ref="G12:J12"/>
    <mergeCell ref="E13:F13"/>
    <mergeCell ref="E14:F14"/>
    <mergeCell ref="E15:F15"/>
    <mergeCell ref="E16:F16"/>
    <mergeCell ref="B3:J3"/>
    <mergeCell ref="B6:J6"/>
    <mergeCell ref="I8:J8"/>
    <mergeCell ref="B70:C70"/>
    <mergeCell ref="B101:J101"/>
    <mergeCell ref="D22:F22"/>
    <mergeCell ref="B31:J31"/>
    <mergeCell ref="B48:J48"/>
    <mergeCell ref="G22:H22"/>
    <mergeCell ref="B100:J100"/>
    <mergeCell ref="B71:C71"/>
    <mergeCell ref="B72:C72"/>
    <mergeCell ref="B73:C73"/>
    <mergeCell ref="B74:C74"/>
    <mergeCell ref="B75:C75"/>
    <mergeCell ref="I21:J21"/>
    <mergeCell ref="B9:C9"/>
    <mergeCell ref="B67:C67"/>
    <mergeCell ref="B68:C68"/>
    <mergeCell ref="B69:C69"/>
    <mergeCell ref="B51:C51"/>
    <mergeCell ref="G51:I51"/>
    <mergeCell ref="G57:J60"/>
    <mergeCell ref="B66:C66"/>
    <mergeCell ref="B64:J64"/>
    <mergeCell ref="A122:K123"/>
    <mergeCell ref="G21:H21"/>
    <mergeCell ref="B22:C22"/>
    <mergeCell ref="G8:H8"/>
    <mergeCell ref="B78:J78"/>
    <mergeCell ref="B21:C21"/>
    <mergeCell ref="B19:J19"/>
    <mergeCell ref="D9:F9"/>
    <mergeCell ref="I22:J22"/>
    <mergeCell ref="D8:F8"/>
    <mergeCell ref="B8:C8"/>
    <mergeCell ref="D21:F21"/>
    <mergeCell ref="G9:H9"/>
    <mergeCell ref="B77:J77"/>
    <mergeCell ref="I9:J9"/>
    <mergeCell ref="G24:J28"/>
  </mergeCells>
  <conditionalFormatting sqref="C33:C45">
    <cfRule type="dataBar" priority="1">
      <dataBar>
        <cfvo type="num" val="0"/>
        <cfvo type="max"/>
        <color rgb="FFFFB020"/>
      </dataBar>
    </cfRule>
  </conditionalFormatting>
  <conditionalFormatting sqref="C52:C60">
    <cfRule type="dataBar" priority="2">
      <dataBar>
        <cfvo type="num" val="0"/>
        <cfvo type="max"/>
        <color rgb="FFA98BFA"/>
      </dataBar>
    </cfRule>
  </conditionalFormatting>
  <conditionalFormatting sqref="D66:D74">
    <cfRule type="dataBar" priority="3">
      <dataBar>
        <cfvo type="num" val="0"/>
        <cfvo type="max"/>
        <color rgb="FF38BDF8"/>
      </dataBar>
    </cfRule>
  </conditionalFormatting>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4"/>
  <sheetViews>
    <sheetView showGridLines="0" tabSelected="1" zoomScaleNormal="100" workbookViewId="0">
      <selection activeCell="L12" sqref="L12"/>
    </sheetView>
  </sheetViews>
  <sheetFormatPr baseColWidth="10" defaultColWidth="8.6640625" defaultRowHeight="14.4" x14ac:dyDescent="0.3"/>
  <cols>
    <col min="1" max="1" width="3" style="31" customWidth="1"/>
    <col min="2" max="2" width="34" style="31" customWidth="1"/>
    <col min="3" max="3" width="60" style="31" customWidth="1"/>
    <col min="4" max="4" width="16" style="31" customWidth="1"/>
    <col min="5" max="7" width="4" style="31" customWidth="1"/>
    <col min="8" max="16384" width="8.6640625" style="31"/>
  </cols>
  <sheetData>
    <row r="1" spans="1:4" ht="30" customHeight="1" x14ac:dyDescent="0.3">
      <c r="A1" s="118" t="s">
        <v>57</v>
      </c>
      <c r="B1" s="119"/>
      <c r="C1" s="119"/>
      <c r="D1" s="119"/>
    </row>
    <row r="2" spans="1:4" ht="18" customHeight="1" x14ac:dyDescent="0.3">
      <c r="A2" s="120" t="s">
        <v>58</v>
      </c>
      <c r="B2" s="121"/>
      <c r="C2" s="121"/>
      <c r="D2" s="121"/>
    </row>
    <row r="4" spans="1:4" ht="15" customHeight="1" x14ac:dyDescent="0.3">
      <c r="B4" s="122" t="s">
        <v>59</v>
      </c>
      <c r="C4" s="123"/>
      <c r="D4" s="123"/>
    </row>
    <row r="5" spans="1:4" ht="15" customHeight="1" x14ac:dyDescent="0.3">
      <c r="B5" s="123"/>
      <c r="C5" s="123"/>
      <c r="D5" s="123"/>
    </row>
    <row r="6" spans="1:4" ht="15" customHeight="1" x14ac:dyDescent="0.3">
      <c r="B6" s="123"/>
      <c r="C6" s="123"/>
      <c r="D6" s="123"/>
    </row>
    <row r="7" spans="1:4" ht="15" customHeight="1" x14ac:dyDescent="0.3">
      <c r="B7" s="123"/>
      <c r="C7" s="123"/>
      <c r="D7" s="123"/>
    </row>
    <row r="8" spans="1:4" ht="63.6" customHeight="1" x14ac:dyDescent="0.3">
      <c r="B8" s="123"/>
      <c r="C8" s="123"/>
      <c r="D8" s="123"/>
    </row>
    <row r="10" spans="1:4" ht="15" customHeight="1" x14ac:dyDescent="0.3">
      <c r="B10" s="124" t="s">
        <v>60</v>
      </c>
    </row>
    <row r="11" spans="1:4" ht="15.75" customHeight="1" x14ac:dyDescent="0.3">
      <c r="B11" s="125" t="s">
        <v>61</v>
      </c>
      <c r="C11" s="126" t="s">
        <v>62</v>
      </c>
    </row>
    <row r="12" spans="1:4" ht="15.75" customHeight="1" x14ac:dyDescent="0.3">
      <c r="B12" s="125" t="s">
        <v>63</v>
      </c>
      <c r="C12" s="126" t="s">
        <v>64</v>
      </c>
    </row>
    <row r="13" spans="1:4" ht="15.75" customHeight="1" x14ac:dyDescent="0.3">
      <c r="B13" s="125" t="s">
        <v>65</v>
      </c>
      <c r="C13" s="126" t="s">
        <v>66</v>
      </c>
    </row>
    <row r="14" spans="1:4" ht="15.75" customHeight="1" x14ac:dyDescent="0.3">
      <c r="B14" s="125" t="s">
        <v>67</v>
      </c>
      <c r="C14" s="126" t="s">
        <v>68</v>
      </c>
    </row>
    <row r="15" spans="1:4" ht="15.75" customHeight="1" x14ac:dyDescent="0.3">
      <c r="B15" s="125" t="s">
        <v>69</v>
      </c>
      <c r="C15" s="126" t="s">
        <v>70</v>
      </c>
    </row>
    <row r="18" spans="2:4" ht="15" customHeight="1" x14ac:dyDescent="0.3">
      <c r="B18" s="124" t="s">
        <v>71</v>
      </c>
    </row>
    <row r="19" spans="2:4" ht="15.75" customHeight="1" x14ac:dyDescent="0.3">
      <c r="B19" s="126" t="s">
        <v>72</v>
      </c>
      <c r="C19" s="127" t="s">
        <v>73</v>
      </c>
      <c r="D19" s="128">
        <v>12</v>
      </c>
    </row>
    <row r="20" spans="2:4" ht="15.75" customHeight="1" x14ac:dyDescent="0.3">
      <c r="B20" s="126" t="s">
        <v>74</v>
      </c>
      <c r="C20" s="127" t="s">
        <v>75</v>
      </c>
      <c r="D20" s="129">
        <v>10</v>
      </c>
    </row>
    <row r="21" spans="2:4" ht="15.75" customHeight="1" x14ac:dyDescent="0.3">
      <c r="B21" s="126" t="s">
        <v>76</v>
      </c>
      <c r="C21" s="127" t="s">
        <v>77</v>
      </c>
      <c r="D21" s="128">
        <v>6</v>
      </c>
    </row>
    <row r="22" spans="2:4" ht="30" customHeight="1" x14ac:dyDescent="0.3">
      <c r="B22" s="126" t="s">
        <v>78</v>
      </c>
      <c r="C22" s="127" t="s">
        <v>79</v>
      </c>
      <c r="D22" s="130">
        <v>0.75</v>
      </c>
    </row>
    <row r="23" spans="2:4" ht="29.4" customHeight="1" x14ac:dyDescent="0.3">
      <c r="B23" s="126" t="s">
        <v>80</v>
      </c>
      <c r="C23" s="127" t="s">
        <v>81</v>
      </c>
      <c r="D23" s="131">
        <v>18000000</v>
      </c>
    </row>
    <row r="26" spans="2:4" ht="15" customHeight="1" x14ac:dyDescent="0.3">
      <c r="B26" s="124" t="s">
        <v>82</v>
      </c>
    </row>
    <row r="27" spans="2:4" ht="15" customHeight="1" x14ac:dyDescent="0.3">
      <c r="B27" s="132" t="s">
        <v>83</v>
      </c>
      <c r="C27" s="126" t="s">
        <v>84</v>
      </c>
    </row>
    <row r="28" spans="2:4" ht="15" customHeight="1" x14ac:dyDescent="0.3">
      <c r="B28" s="133" t="s">
        <v>85</v>
      </c>
      <c r="C28" s="126" t="s">
        <v>86</v>
      </c>
    </row>
    <row r="29" spans="2:4" ht="15" customHeight="1" x14ac:dyDescent="0.3">
      <c r="B29" s="134" t="s">
        <v>87</v>
      </c>
      <c r="C29" s="126" t="s">
        <v>88</v>
      </c>
    </row>
    <row r="31" spans="2:4" ht="15" customHeight="1" x14ac:dyDescent="0.3">
      <c r="B31" s="135" t="s">
        <v>89</v>
      </c>
      <c r="C31" s="136"/>
      <c r="D31" s="136"/>
    </row>
    <row r="32" spans="2:4" ht="15" customHeight="1" x14ac:dyDescent="0.3">
      <c r="B32" s="136"/>
      <c r="C32" s="136"/>
      <c r="D32" s="136"/>
    </row>
    <row r="33" spans="2:4" ht="15" customHeight="1" x14ac:dyDescent="0.3">
      <c r="B33" s="136"/>
      <c r="C33" s="136"/>
      <c r="D33" s="136"/>
    </row>
    <row r="34" spans="2:4" ht="15" customHeight="1" x14ac:dyDescent="0.3">
      <c r="B34" s="136"/>
      <c r="C34" s="136"/>
      <c r="D34" s="136"/>
    </row>
  </sheetData>
  <sheetProtection sheet="1" objects="1" scenarios="1" formatCells="0" formatColumns="0" formatRows="0" insertHyperlinks="0" sort="0" autoFilter="0"/>
  <mergeCells count="4">
    <mergeCell ref="A1:D1"/>
    <mergeCell ref="B4:D8"/>
    <mergeCell ref="A2:D2"/>
    <mergeCell ref="B31:D34"/>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2"/>
  <sheetViews>
    <sheetView zoomScaleNormal="100" workbookViewId="0">
      <pane ySplit="4" topLeftCell="A5" activePane="bottomLeft" state="frozen"/>
      <selection pane="bottomLeft" activeCell="H10" sqref="H10"/>
    </sheetView>
  </sheetViews>
  <sheetFormatPr baseColWidth="10" defaultColWidth="8.6640625" defaultRowHeight="14.4" x14ac:dyDescent="0.3"/>
  <cols>
    <col min="1" max="1" width="10" style="31" customWidth="1"/>
    <col min="2" max="2" width="26" style="31" customWidth="1"/>
    <col min="3" max="3" width="20" style="31" customWidth="1"/>
    <col min="4" max="4" width="12" style="31" customWidth="1"/>
    <col min="5" max="5" width="13" style="31" customWidth="1"/>
    <col min="6" max="6" width="10" style="31" customWidth="1"/>
    <col min="7" max="7" width="13" style="31" customWidth="1"/>
    <col min="8" max="8" width="11" style="31" customWidth="1"/>
    <col min="9" max="16384" width="8.6640625" style="31"/>
  </cols>
  <sheetData>
    <row r="1" spans="1:8" ht="27.75" customHeight="1" x14ac:dyDescent="0.3">
      <c r="A1" s="137" t="s">
        <v>90</v>
      </c>
      <c r="B1" s="119"/>
      <c r="C1" s="119"/>
      <c r="D1" s="119"/>
      <c r="E1" s="119"/>
      <c r="F1" s="119"/>
      <c r="G1" s="119"/>
      <c r="H1" s="119"/>
    </row>
    <row r="2" spans="1:8" ht="15" customHeight="1" x14ac:dyDescent="0.3">
      <c r="A2" s="138" t="s">
        <v>330</v>
      </c>
      <c r="B2" s="139"/>
      <c r="C2" s="139"/>
      <c r="D2" s="139"/>
      <c r="E2" s="139"/>
      <c r="F2" s="139"/>
      <c r="G2" s="139"/>
      <c r="H2" s="139"/>
    </row>
    <row r="3" spans="1:8" ht="15" customHeight="1" x14ac:dyDescent="0.3">
      <c r="A3" s="140"/>
    </row>
    <row r="4" spans="1:8" ht="31.5" customHeight="1" x14ac:dyDescent="0.3">
      <c r="A4" s="141" t="s">
        <v>91</v>
      </c>
      <c r="B4" s="141" t="s">
        <v>92</v>
      </c>
      <c r="C4" s="141" t="s">
        <v>93</v>
      </c>
      <c r="D4" s="141" t="s">
        <v>94</v>
      </c>
      <c r="E4" s="141" t="s">
        <v>95</v>
      </c>
      <c r="F4" s="141" t="s">
        <v>96</v>
      </c>
      <c r="G4" s="141" t="s">
        <v>53</v>
      </c>
      <c r="H4" s="141" t="s">
        <v>97</v>
      </c>
    </row>
    <row r="5" spans="1:8" ht="15" customHeight="1" x14ac:dyDescent="0.3">
      <c r="A5" s="142" t="s">
        <v>98</v>
      </c>
      <c r="B5" s="142" t="s">
        <v>99</v>
      </c>
      <c r="C5" s="142" t="s">
        <v>100</v>
      </c>
      <c r="D5" s="143">
        <v>1</v>
      </c>
      <c r="E5" s="143">
        <v>12</v>
      </c>
      <c r="F5" s="144">
        <v>9</v>
      </c>
      <c r="G5" s="224">
        <f t="shared" ref="G5:G19" si="0">IFERROR(D5*E5*F5,0)</f>
        <v>108</v>
      </c>
      <c r="H5" s="145">
        <v>0.35</v>
      </c>
    </row>
    <row r="6" spans="1:8" ht="15" customHeight="1" x14ac:dyDescent="0.3">
      <c r="A6" s="142" t="s">
        <v>101</v>
      </c>
      <c r="B6" s="142" t="s">
        <v>102</v>
      </c>
      <c r="C6" s="142" t="s">
        <v>103</v>
      </c>
      <c r="D6" s="143">
        <v>1</v>
      </c>
      <c r="E6" s="143">
        <v>12</v>
      </c>
      <c r="F6" s="144">
        <v>9</v>
      </c>
      <c r="G6" s="224">
        <f t="shared" si="0"/>
        <v>108</v>
      </c>
      <c r="H6" s="145">
        <v>0.3</v>
      </c>
    </row>
    <row r="7" spans="1:8" ht="15" customHeight="1" x14ac:dyDescent="0.3">
      <c r="A7" s="142" t="s">
        <v>104</v>
      </c>
      <c r="B7" s="142" t="s">
        <v>105</v>
      </c>
      <c r="C7" s="142" t="s">
        <v>106</v>
      </c>
      <c r="D7" s="143">
        <v>1</v>
      </c>
      <c r="E7" s="143">
        <v>10</v>
      </c>
      <c r="F7" s="144">
        <v>8</v>
      </c>
      <c r="G7" s="224">
        <f t="shared" si="0"/>
        <v>80</v>
      </c>
      <c r="H7" s="145">
        <v>0.35</v>
      </c>
    </row>
    <row r="8" spans="1:8" ht="15" customHeight="1" x14ac:dyDescent="0.3">
      <c r="A8" s="142" t="s">
        <v>107</v>
      </c>
      <c r="B8" s="142" t="s">
        <v>108</v>
      </c>
      <c r="C8" s="142" t="s">
        <v>109</v>
      </c>
      <c r="D8" s="143">
        <v>1</v>
      </c>
      <c r="E8" s="143">
        <v>12</v>
      </c>
      <c r="F8" s="144">
        <v>8</v>
      </c>
      <c r="G8" s="224">
        <f t="shared" si="0"/>
        <v>96</v>
      </c>
      <c r="H8" s="145">
        <v>0.25</v>
      </c>
    </row>
    <row r="9" spans="1:8" ht="15" customHeight="1" x14ac:dyDescent="0.3">
      <c r="A9" s="146" t="s">
        <v>110</v>
      </c>
      <c r="B9" s="146" t="s">
        <v>111</v>
      </c>
      <c r="C9" s="146" t="s">
        <v>112</v>
      </c>
      <c r="D9" s="147">
        <v>1</v>
      </c>
      <c r="E9" s="147">
        <v>24</v>
      </c>
      <c r="F9" s="147">
        <v>8</v>
      </c>
      <c r="G9" s="224">
        <f t="shared" si="0"/>
        <v>192</v>
      </c>
      <c r="H9" s="148">
        <v>0.3</v>
      </c>
    </row>
    <row r="10" spans="1:8" ht="15" customHeight="1" x14ac:dyDescent="0.3">
      <c r="A10" s="146" t="s">
        <v>113</v>
      </c>
      <c r="B10" s="146" t="s">
        <v>114</v>
      </c>
      <c r="C10" s="146" t="s">
        <v>115</v>
      </c>
      <c r="D10" s="147">
        <v>1</v>
      </c>
      <c r="E10" s="147">
        <v>26</v>
      </c>
      <c r="F10" s="147">
        <v>9</v>
      </c>
      <c r="G10" s="224">
        <f t="shared" si="0"/>
        <v>234</v>
      </c>
      <c r="H10" s="148">
        <v>0.32</v>
      </c>
    </row>
    <row r="11" spans="1:8" ht="15" customHeight="1" x14ac:dyDescent="0.3">
      <c r="A11" s="146" t="s">
        <v>116</v>
      </c>
      <c r="B11" s="146" t="s">
        <v>117</v>
      </c>
      <c r="C11" s="146" t="s">
        <v>109</v>
      </c>
      <c r="D11" s="147">
        <v>1</v>
      </c>
      <c r="E11" s="147">
        <v>22</v>
      </c>
      <c r="F11" s="147">
        <v>7</v>
      </c>
      <c r="G11" s="224">
        <f t="shared" si="0"/>
        <v>154</v>
      </c>
      <c r="H11" s="148">
        <v>0.28000000000000003</v>
      </c>
    </row>
    <row r="12" spans="1:8" ht="15" customHeight="1" x14ac:dyDescent="0.3">
      <c r="A12" s="142"/>
      <c r="B12" s="142"/>
      <c r="C12" s="142"/>
      <c r="D12" s="143"/>
      <c r="E12" s="143"/>
      <c r="F12" s="144"/>
      <c r="G12" s="224">
        <f t="shared" si="0"/>
        <v>0</v>
      </c>
      <c r="H12" s="145"/>
    </row>
    <row r="13" spans="1:8" ht="15" customHeight="1" x14ac:dyDescent="0.3">
      <c r="A13" s="142"/>
      <c r="B13" s="142"/>
      <c r="C13" s="142"/>
      <c r="D13" s="143"/>
      <c r="E13" s="143"/>
      <c r="F13" s="144"/>
      <c r="G13" s="224">
        <f t="shared" si="0"/>
        <v>0</v>
      </c>
      <c r="H13" s="145"/>
    </row>
    <row r="14" spans="1:8" ht="15" customHeight="1" x14ac:dyDescent="0.3">
      <c r="A14" s="142"/>
      <c r="B14" s="142"/>
      <c r="C14" s="142"/>
      <c r="D14" s="143"/>
      <c r="E14" s="143"/>
      <c r="F14" s="144"/>
      <c r="G14" s="224">
        <f t="shared" si="0"/>
        <v>0</v>
      </c>
      <c r="H14" s="145"/>
    </row>
    <row r="15" spans="1:8" ht="15" customHeight="1" x14ac:dyDescent="0.3">
      <c r="A15" s="142"/>
      <c r="B15" s="142"/>
      <c r="C15" s="142"/>
      <c r="D15" s="143"/>
      <c r="E15" s="143"/>
      <c r="F15" s="144"/>
      <c r="G15" s="224">
        <f t="shared" si="0"/>
        <v>0</v>
      </c>
      <c r="H15" s="145"/>
    </row>
    <row r="16" spans="1:8" ht="15" customHeight="1" x14ac:dyDescent="0.3">
      <c r="A16" s="142"/>
      <c r="B16" s="142"/>
      <c r="C16" s="142"/>
      <c r="D16" s="143"/>
      <c r="E16" s="143"/>
      <c r="F16" s="144"/>
      <c r="G16" s="224">
        <f t="shared" si="0"/>
        <v>0</v>
      </c>
      <c r="H16" s="145"/>
    </row>
    <row r="17" spans="1:8" ht="15" customHeight="1" x14ac:dyDescent="0.3">
      <c r="A17" s="142"/>
      <c r="B17" s="142"/>
      <c r="C17" s="142"/>
      <c r="D17" s="143"/>
      <c r="E17" s="143"/>
      <c r="F17" s="144"/>
      <c r="G17" s="224">
        <f t="shared" si="0"/>
        <v>0</v>
      </c>
      <c r="H17" s="145"/>
    </row>
    <row r="18" spans="1:8" ht="15" customHeight="1" x14ac:dyDescent="0.3">
      <c r="A18" s="142"/>
      <c r="B18" s="142"/>
      <c r="C18" s="142"/>
      <c r="D18" s="143"/>
      <c r="E18" s="143"/>
      <c r="F18" s="144"/>
      <c r="G18" s="224">
        <f t="shared" si="0"/>
        <v>0</v>
      </c>
      <c r="H18" s="145"/>
    </row>
    <row r="19" spans="1:8" ht="15" customHeight="1" x14ac:dyDescent="0.3">
      <c r="A19" s="142"/>
      <c r="B19" s="142"/>
      <c r="C19" s="142"/>
      <c r="D19" s="143"/>
      <c r="E19" s="143"/>
      <c r="F19" s="144"/>
      <c r="G19" s="224">
        <f t="shared" si="0"/>
        <v>0</v>
      </c>
      <c r="H19" s="145"/>
    </row>
    <row r="20" spans="1:8" ht="15" customHeight="1" x14ac:dyDescent="0.3">
      <c r="C20" s="149" t="s">
        <v>118</v>
      </c>
      <c r="G20" s="225">
        <f>SUM(G5:G19)</f>
        <v>972</v>
      </c>
    </row>
    <row r="22" spans="1:8" ht="15" customHeight="1" x14ac:dyDescent="0.3">
      <c r="A22" s="150"/>
    </row>
  </sheetData>
  <sheetProtection sheet="1" objects="1" scenarios="1" formatCells="0" formatColumns="0" formatRows="0" insertHyperlinks="0" sort="0" autoFilter="0"/>
  <mergeCells count="2">
    <mergeCell ref="A2:H2"/>
    <mergeCell ref="A1:H1"/>
  </mergeCells>
  <pageMargins left="0.75" right="0.75" top="1" bottom="1"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6"/>
  <sheetViews>
    <sheetView zoomScaleNormal="100" workbookViewId="0">
      <pane ySplit="4" topLeftCell="A5" activePane="bottomLeft" state="frozen"/>
      <selection pane="bottomLeft" activeCell="E19" sqref="E19"/>
    </sheetView>
  </sheetViews>
  <sheetFormatPr baseColWidth="10" defaultColWidth="8.6640625" defaultRowHeight="14.4" x14ac:dyDescent="0.3"/>
  <cols>
    <col min="1" max="1" width="10" style="2" customWidth="1"/>
    <col min="2" max="2" width="28" style="2" customWidth="1"/>
    <col min="3" max="3" width="18" style="2" customWidth="1"/>
    <col min="4" max="4" width="12" style="2" customWidth="1"/>
    <col min="5" max="6" width="14" style="2" customWidth="1"/>
    <col min="7" max="7" width="11" style="2" customWidth="1"/>
    <col min="8" max="9" width="13" style="2" customWidth="1"/>
    <col min="10" max="16384" width="8.6640625" style="2"/>
  </cols>
  <sheetData>
    <row r="1" spans="1:9" ht="27.75" customHeight="1" x14ac:dyDescent="0.3">
      <c r="A1" s="151" t="s">
        <v>119</v>
      </c>
      <c r="B1" s="4"/>
      <c r="C1" s="4"/>
      <c r="D1" s="4"/>
      <c r="E1" s="4"/>
      <c r="F1" s="4"/>
      <c r="G1" s="4"/>
      <c r="H1" s="4"/>
      <c r="I1" s="4"/>
    </row>
    <row r="2" spans="1:9" ht="15" customHeight="1" x14ac:dyDescent="0.3">
      <c r="A2" s="120" t="s">
        <v>329</v>
      </c>
      <c r="B2" s="121"/>
      <c r="C2" s="121"/>
      <c r="D2" s="121"/>
      <c r="E2" s="121"/>
      <c r="F2" s="121"/>
      <c r="G2" s="121"/>
      <c r="H2" s="121"/>
      <c r="I2" s="121"/>
    </row>
    <row r="3" spans="1:9" ht="15" customHeight="1" x14ac:dyDescent="0.3">
      <c r="A3" s="152"/>
    </row>
    <row r="4" spans="1:9" ht="31.5" customHeight="1" x14ac:dyDescent="0.3">
      <c r="A4" s="141" t="s">
        <v>91</v>
      </c>
      <c r="B4" s="141" t="s">
        <v>27</v>
      </c>
      <c r="C4" s="141" t="s">
        <v>120</v>
      </c>
      <c r="D4" s="141" t="s">
        <v>121</v>
      </c>
      <c r="E4" s="141" t="s">
        <v>122</v>
      </c>
      <c r="F4" s="141" t="s">
        <v>123</v>
      </c>
      <c r="G4" s="141" t="s">
        <v>97</v>
      </c>
      <c r="H4" s="141" t="s">
        <v>124</v>
      </c>
      <c r="I4" s="141" t="s">
        <v>30</v>
      </c>
    </row>
    <row r="5" spans="1:9" ht="15" customHeight="1" x14ac:dyDescent="0.3">
      <c r="A5" s="153" t="s">
        <v>125</v>
      </c>
      <c r="B5" s="153" t="s">
        <v>126</v>
      </c>
      <c r="C5" s="153" t="s">
        <v>127</v>
      </c>
      <c r="D5" s="154">
        <v>45</v>
      </c>
      <c r="E5" s="155">
        <v>45000</v>
      </c>
      <c r="F5" s="226">
        <f>IFERROR(SUMIFS(Fichas!$F:$F,Fichas!$A:$A,$A5),0)</f>
        <v>660</v>
      </c>
      <c r="G5" s="156">
        <v>0.3</v>
      </c>
      <c r="H5" s="226">
        <f t="shared" ref="H5:H44" si="0">IFERROR(E5*G5,0)</f>
        <v>13500</v>
      </c>
      <c r="I5" s="226">
        <f t="shared" ref="I5:I44" si="1">IFERROR(E5-F5-H5,0)</f>
        <v>30840</v>
      </c>
    </row>
    <row r="6" spans="1:9" ht="15" customHeight="1" x14ac:dyDescent="0.3">
      <c r="A6" s="153" t="s">
        <v>128</v>
      </c>
      <c r="B6" s="153" t="s">
        <v>129</v>
      </c>
      <c r="C6" s="153" t="s">
        <v>127</v>
      </c>
      <c r="D6" s="154">
        <v>30</v>
      </c>
      <c r="E6" s="155">
        <v>28000</v>
      </c>
      <c r="F6" s="226">
        <f>IFERROR(SUMIFS(Fichas!$F:$F,Fichas!$A:$A,$A6),0)</f>
        <v>440</v>
      </c>
      <c r="G6" s="156">
        <v>0.3</v>
      </c>
      <c r="H6" s="226">
        <f t="shared" si="0"/>
        <v>8400</v>
      </c>
      <c r="I6" s="226">
        <f t="shared" si="1"/>
        <v>19160</v>
      </c>
    </row>
    <row r="7" spans="1:9" ht="15" customHeight="1" x14ac:dyDescent="0.3">
      <c r="A7" s="153" t="s">
        <v>130</v>
      </c>
      <c r="B7" s="153" t="s">
        <v>131</v>
      </c>
      <c r="C7" s="153" t="s">
        <v>132</v>
      </c>
      <c r="D7" s="154">
        <v>90</v>
      </c>
      <c r="E7" s="155">
        <v>120000</v>
      </c>
      <c r="F7" s="226">
        <f>IFERROR(SUMIFS(Fichas!$F:$F,Fichas!$A:$A,$A7),0)</f>
        <v>5355</v>
      </c>
      <c r="G7" s="156">
        <v>0.35</v>
      </c>
      <c r="H7" s="226">
        <f t="shared" si="0"/>
        <v>42000</v>
      </c>
      <c r="I7" s="226">
        <f t="shared" si="1"/>
        <v>72645</v>
      </c>
    </row>
    <row r="8" spans="1:9" ht="15" customHeight="1" x14ac:dyDescent="0.3">
      <c r="A8" s="153" t="s">
        <v>133</v>
      </c>
      <c r="B8" s="153" t="s">
        <v>134</v>
      </c>
      <c r="C8" s="153" t="s">
        <v>132</v>
      </c>
      <c r="D8" s="154">
        <v>180</v>
      </c>
      <c r="E8" s="155">
        <v>320000</v>
      </c>
      <c r="F8" s="226">
        <f>IFERROR(SUMIFS(Fichas!$F:$F,Fichas!$A:$A,$A8),0)</f>
        <v>11760</v>
      </c>
      <c r="G8" s="156">
        <v>0.35</v>
      </c>
      <c r="H8" s="226">
        <f t="shared" si="0"/>
        <v>112000</v>
      </c>
      <c r="I8" s="226">
        <f t="shared" si="1"/>
        <v>196240</v>
      </c>
    </row>
    <row r="9" spans="1:9" ht="15" customHeight="1" x14ac:dyDescent="0.3">
      <c r="A9" s="153" t="s">
        <v>135</v>
      </c>
      <c r="B9" s="153" t="s">
        <v>136</v>
      </c>
      <c r="C9" s="153" t="s">
        <v>137</v>
      </c>
      <c r="D9" s="154">
        <v>150</v>
      </c>
      <c r="E9" s="155">
        <v>280000</v>
      </c>
      <c r="F9" s="226">
        <f>IFERROR(SUMIFS(Fichas!$F:$F,Fichas!$A:$A,$A9),0)</f>
        <v>18900</v>
      </c>
      <c r="G9" s="156">
        <v>0.35</v>
      </c>
      <c r="H9" s="226">
        <f t="shared" si="0"/>
        <v>98000</v>
      </c>
      <c r="I9" s="226">
        <f t="shared" si="1"/>
        <v>163100</v>
      </c>
    </row>
    <row r="10" spans="1:9" ht="15" customHeight="1" x14ac:dyDescent="0.3">
      <c r="A10" s="153" t="s">
        <v>138</v>
      </c>
      <c r="B10" s="153" t="s">
        <v>139</v>
      </c>
      <c r="C10" s="153" t="s">
        <v>140</v>
      </c>
      <c r="D10" s="154">
        <v>45</v>
      </c>
      <c r="E10" s="155">
        <v>35000</v>
      </c>
      <c r="F10" s="226">
        <f>IFERROR(SUMIFS(Fichas!$F:$F,Fichas!$A:$A,$A10),0)</f>
        <v>510</v>
      </c>
      <c r="G10" s="156">
        <v>0.25</v>
      </c>
      <c r="H10" s="226">
        <f t="shared" si="0"/>
        <v>8750</v>
      </c>
      <c r="I10" s="226">
        <f t="shared" si="1"/>
        <v>25740</v>
      </c>
    </row>
    <row r="11" spans="1:9" ht="15" customHeight="1" x14ac:dyDescent="0.3">
      <c r="A11" s="153" t="s">
        <v>141</v>
      </c>
      <c r="B11" s="153" t="s">
        <v>142</v>
      </c>
      <c r="C11" s="153" t="s">
        <v>143</v>
      </c>
      <c r="D11" s="154">
        <v>40</v>
      </c>
      <c r="E11" s="155">
        <v>55000</v>
      </c>
      <c r="F11" s="226">
        <f>IFERROR(SUMIFS(Fichas!$F:$F,Fichas!$A:$A,$A11),0)</f>
        <v>0</v>
      </c>
      <c r="G11" s="156">
        <v>0.3</v>
      </c>
      <c r="H11" s="226">
        <f t="shared" si="0"/>
        <v>16500</v>
      </c>
      <c r="I11" s="226">
        <f t="shared" si="1"/>
        <v>38500</v>
      </c>
    </row>
    <row r="12" spans="1:9" ht="15" customHeight="1" x14ac:dyDescent="0.3">
      <c r="A12" s="153" t="s">
        <v>144</v>
      </c>
      <c r="B12" s="153" t="s">
        <v>145</v>
      </c>
      <c r="C12" s="153" t="s">
        <v>143</v>
      </c>
      <c r="D12" s="154">
        <v>30</v>
      </c>
      <c r="E12" s="155">
        <v>38000</v>
      </c>
      <c r="F12" s="226">
        <f>IFERROR(SUMIFS(Fichas!$F:$F,Fichas!$A:$A,$A12),0)</f>
        <v>0</v>
      </c>
      <c r="G12" s="156">
        <v>0.3</v>
      </c>
      <c r="H12" s="226">
        <f t="shared" si="0"/>
        <v>11400</v>
      </c>
      <c r="I12" s="226">
        <f t="shared" si="1"/>
        <v>26600</v>
      </c>
    </row>
    <row r="13" spans="1:9" ht="15" customHeight="1" x14ac:dyDescent="0.3">
      <c r="A13" s="146" t="s">
        <v>146</v>
      </c>
      <c r="B13" s="146" t="s">
        <v>147</v>
      </c>
      <c r="C13" s="146" t="s">
        <v>127</v>
      </c>
      <c r="D13" s="147">
        <v>25</v>
      </c>
      <c r="E13" s="157">
        <v>22000</v>
      </c>
      <c r="F13" s="226">
        <f>IFERROR(SUMIFS(Fichas!$F:$F,Fichas!$A:$A,$A13),0)</f>
        <v>0</v>
      </c>
      <c r="G13" s="148">
        <v>0.28000000000000003</v>
      </c>
      <c r="H13" s="226">
        <f t="shared" si="0"/>
        <v>6160.0000000000009</v>
      </c>
      <c r="I13" s="226">
        <f t="shared" si="1"/>
        <v>15840</v>
      </c>
    </row>
    <row r="14" spans="1:9" ht="15" customHeight="1" x14ac:dyDescent="0.3">
      <c r="A14" s="146" t="s">
        <v>148</v>
      </c>
      <c r="B14" s="146" t="s">
        <v>149</v>
      </c>
      <c r="C14" s="146" t="s">
        <v>150</v>
      </c>
      <c r="D14" s="147">
        <v>25</v>
      </c>
      <c r="E14" s="157">
        <v>20000</v>
      </c>
      <c r="F14" s="226">
        <f>IFERROR(SUMIFS(Fichas!$F:$F,Fichas!$A:$A,$A14),0)</f>
        <v>0</v>
      </c>
      <c r="G14" s="148">
        <v>0.32</v>
      </c>
      <c r="H14" s="226">
        <f t="shared" si="0"/>
        <v>6400</v>
      </c>
      <c r="I14" s="226">
        <f t="shared" si="1"/>
        <v>13600</v>
      </c>
    </row>
    <row r="15" spans="1:9" ht="15" customHeight="1" x14ac:dyDescent="0.3">
      <c r="A15" s="146" t="s">
        <v>151</v>
      </c>
      <c r="B15" s="146" t="s">
        <v>152</v>
      </c>
      <c r="C15" s="146" t="s">
        <v>150</v>
      </c>
      <c r="D15" s="147">
        <v>50</v>
      </c>
      <c r="E15" s="157">
        <v>42000</v>
      </c>
      <c r="F15" s="226">
        <f>IFERROR(SUMIFS(Fichas!$F:$F,Fichas!$A:$A,$A15),0)</f>
        <v>0</v>
      </c>
      <c r="G15" s="148">
        <v>0.32</v>
      </c>
      <c r="H15" s="226">
        <f t="shared" si="0"/>
        <v>13440</v>
      </c>
      <c r="I15" s="226">
        <f t="shared" si="1"/>
        <v>28560</v>
      </c>
    </row>
    <row r="16" spans="1:9" ht="15" customHeight="1" x14ac:dyDescent="0.3">
      <c r="A16" s="146" t="s">
        <v>153</v>
      </c>
      <c r="B16" s="146" t="s">
        <v>154</v>
      </c>
      <c r="C16" s="146" t="s">
        <v>132</v>
      </c>
      <c r="D16" s="147">
        <v>60</v>
      </c>
      <c r="E16" s="157">
        <v>75000</v>
      </c>
      <c r="F16" s="226">
        <f>IFERROR(SUMIFS(Fichas!$F:$F,Fichas!$A:$A,$A16),0)</f>
        <v>3796</v>
      </c>
      <c r="G16" s="148">
        <v>0.33</v>
      </c>
      <c r="H16" s="226">
        <f t="shared" si="0"/>
        <v>24750</v>
      </c>
      <c r="I16" s="226">
        <f t="shared" si="1"/>
        <v>46454</v>
      </c>
    </row>
    <row r="17" spans="1:9" ht="15" customHeight="1" x14ac:dyDescent="0.3">
      <c r="A17" s="146" t="s">
        <v>155</v>
      </c>
      <c r="B17" s="146" t="s">
        <v>156</v>
      </c>
      <c r="C17" s="146" t="s">
        <v>132</v>
      </c>
      <c r="D17" s="147">
        <v>45</v>
      </c>
      <c r="E17" s="157">
        <v>68000</v>
      </c>
      <c r="F17" s="226">
        <f>IFERROR(SUMIFS(Fichas!$F:$F,Fichas!$A:$A,$A17),0)</f>
        <v>3684</v>
      </c>
      <c r="G17" s="148">
        <v>0.33</v>
      </c>
      <c r="H17" s="226">
        <f t="shared" si="0"/>
        <v>22440</v>
      </c>
      <c r="I17" s="226">
        <f t="shared" si="1"/>
        <v>41876</v>
      </c>
    </row>
    <row r="18" spans="1:9" ht="15" customHeight="1" x14ac:dyDescent="0.3">
      <c r="A18" s="146" t="s">
        <v>157</v>
      </c>
      <c r="B18" s="146" t="s">
        <v>158</v>
      </c>
      <c r="C18" s="146" t="s">
        <v>137</v>
      </c>
      <c r="D18" s="147">
        <v>45</v>
      </c>
      <c r="E18" s="157">
        <v>65000</v>
      </c>
      <c r="F18" s="226">
        <f>IFERROR(SUMIFS(Fichas!$F:$F,Fichas!$A:$A,$A18),0)</f>
        <v>5600</v>
      </c>
      <c r="G18" s="148">
        <v>0.3</v>
      </c>
      <c r="H18" s="226">
        <f t="shared" si="0"/>
        <v>19500</v>
      </c>
      <c r="I18" s="226">
        <f t="shared" si="1"/>
        <v>39900</v>
      </c>
    </row>
    <row r="19" spans="1:9" ht="15" customHeight="1" x14ac:dyDescent="0.3">
      <c r="A19" s="146" t="s">
        <v>159</v>
      </c>
      <c r="B19" s="146" t="s">
        <v>160</v>
      </c>
      <c r="C19" s="146" t="s">
        <v>137</v>
      </c>
      <c r="D19" s="147">
        <v>40</v>
      </c>
      <c r="E19" s="157">
        <v>72000</v>
      </c>
      <c r="F19" s="226">
        <f>IFERROR(SUMIFS(Fichas!$F:$F,Fichas!$A:$A,$A19),0)</f>
        <v>10500</v>
      </c>
      <c r="G19" s="148">
        <v>0.3</v>
      </c>
      <c r="H19" s="226">
        <f t="shared" si="0"/>
        <v>21600</v>
      </c>
      <c r="I19" s="226">
        <f t="shared" si="1"/>
        <v>39900</v>
      </c>
    </row>
    <row r="20" spans="1:9" ht="15" customHeight="1" x14ac:dyDescent="0.3">
      <c r="A20" s="146" t="s">
        <v>161</v>
      </c>
      <c r="B20" s="146" t="s">
        <v>162</v>
      </c>
      <c r="C20" s="146" t="s">
        <v>140</v>
      </c>
      <c r="D20" s="147">
        <v>60</v>
      </c>
      <c r="E20" s="157">
        <v>55000</v>
      </c>
      <c r="F20" s="226">
        <f>IFERROR(SUMIFS(Fichas!$F:$F,Fichas!$A:$A,$A20),0)</f>
        <v>8140</v>
      </c>
      <c r="G20" s="148">
        <v>0.28000000000000003</v>
      </c>
      <c r="H20" s="226">
        <f t="shared" si="0"/>
        <v>15400.000000000002</v>
      </c>
      <c r="I20" s="226">
        <f t="shared" si="1"/>
        <v>31460</v>
      </c>
    </row>
    <row r="21" spans="1:9" ht="15" customHeight="1" x14ac:dyDescent="0.3">
      <c r="A21" s="146" t="s">
        <v>163</v>
      </c>
      <c r="B21" s="146" t="s">
        <v>164</v>
      </c>
      <c r="C21" s="146" t="s">
        <v>140</v>
      </c>
      <c r="D21" s="147">
        <v>70</v>
      </c>
      <c r="E21" s="157">
        <v>62000</v>
      </c>
      <c r="F21" s="226">
        <f>IFERROR(SUMIFS(Fichas!$F:$F,Fichas!$A:$A,$A21),0)</f>
        <v>6375</v>
      </c>
      <c r="G21" s="148">
        <v>0.28000000000000003</v>
      </c>
      <c r="H21" s="226">
        <f t="shared" si="0"/>
        <v>17360</v>
      </c>
      <c r="I21" s="226">
        <f t="shared" si="1"/>
        <v>38265</v>
      </c>
    </row>
    <row r="22" spans="1:9" ht="15" customHeight="1" x14ac:dyDescent="0.3">
      <c r="A22" s="146" t="s">
        <v>165</v>
      </c>
      <c r="B22" s="146" t="s">
        <v>166</v>
      </c>
      <c r="C22" s="146" t="s">
        <v>140</v>
      </c>
      <c r="D22" s="147">
        <v>35</v>
      </c>
      <c r="E22" s="157">
        <v>28000</v>
      </c>
      <c r="F22" s="226">
        <f>IFERROR(SUMIFS(Fichas!$F:$F,Fichas!$A:$A,$A22),0)</f>
        <v>3800</v>
      </c>
      <c r="G22" s="148">
        <v>0.28000000000000003</v>
      </c>
      <c r="H22" s="226">
        <f t="shared" si="0"/>
        <v>7840.0000000000009</v>
      </c>
      <c r="I22" s="226">
        <f t="shared" si="1"/>
        <v>16360</v>
      </c>
    </row>
    <row r="23" spans="1:9" ht="15" customHeight="1" x14ac:dyDescent="0.3">
      <c r="A23" s="146" t="s">
        <v>167</v>
      </c>
      <c r="B23" s="146" t="s">
        <v>168</v>
      </c>
      <c r="C23" s="146" t="s">
        <v>143</v>
      </c>
      <c r="D23" s="147">
        <v>60</v>
      </c>
      <c r="E23" s="157">
        <v>85000</v>
      </c>
      <c r="F23" s="226">
        <f>IFERROR(SUMIFS(Fichas!$F:$F,Fichas!$A:$A,$A23),0)</f>
        <v>0</v>
      </c>
      <c r="G23" s="148">
        <v>0.32</v>
      </c>
      <c r="H23" s="226">
        <f t="shared" si="0"/>
        <v>27200</v>
      </c>
      <c r="I23" s="226">
        <f t="shared" si="1"/>
        <v>57800</v>
      </c>
    </row>
    <row r="24" spans="1:9" ht="15" customHeight="1" x14ac:dyDescent="0.3">
      <c r="A24" s="146" t="s">
        <v>169</v>
      </c>
      <c r="B24" s="146" t="s">
        <v>170</v>
      </c>
      <c r="C24" s="146" t="s">
        <v>171</v>
      </c>
      <c r="D24" s="147">
        <v>20</v>
      </c>
      <c r="E24" s="157">
        <v>18000</v>
      </c>
      <c r="F24" s="226">
        <f>IFERROR(SUMIFS(Fichas!$F:$F,Fichas!$A:$A,$A24),0)</f>
        <v>1625</v>
      </c>
      <c r="G24" s="148">
        <v>0.25</v>
      </c>
      <c r="H24" s="226">
        <f t="shared" si="0"/>
        <v>4500</v>
      </c>
      <c r="I24" s="226">
        <f t="shared" si="1"/>
        <v>11875</v>
      </c>
    </row>
    <row r="25" spans="1:9" ht="15" customHeight="1" x14ac:dyDescent="0.3">
      <c r="A25" s="153"/>
      <c r="B25" s="153"/>
      <c r="C25" s="153"/>
      <c r="D25" s="154"/>
      <c r="E25" s="155"/>
      <c r="F25" s="226">
        <f>IFERROR(SUMIFS(Fichas!$F:$F,Fichas!$A:$A,$A25),0)</f>
        <v>0</v>
      </c>
      <c r="G25" s="156"/>
      <c r="H25" s="226">
        <f t="shared" si="0"/>
        <v>0</v>
      </c>
      <c r="I25" s="226">
        <f t="shared" si="1"/>
        <v>0</v>
      </c>
    </row>
    <row r="26" spans="1:9" ht="15" customHeight="1" x14ac:dyDescent="0.3">
      <c r="A26" s="153"/>
      <c r="B26" s="153"/>
      <c r="C26" s="153"/>
      <c r="D26" s="154"/>
      <c r="E26" s="155"/>
      <c r="F26" s="226">
        <f>IFERROR(SUMIFS(Fichas!$F:$F,Fichas!$A:$A,$A26),0)</f>
        <v>0</v>
      </c>
      <c r="G26" s="156"/>
      <c r="H26" s="226">
        <f t="shared" si="0"/>
        <v>0</v>
      </c>
      <c r="I26" s="226">
        <f t="shared" si="1"/>
        <v>0</v>
      </c>
    </row>
    <row r="27" spans="1:9" ht="15" customHeight="1" x14ac:dyDescent="0.3">
      <c r="A27" s="153"/>
      <c r="B27" s="153"/>
      <c r="C27" s="153"/>
      <c r="D27" s="154"/>
      <c r="E27" s="155"/>
      <c r="F27" s="226">
        <f>IFERROR(SUMIFS(Fichas!$F:$F,Fichas!$A:$A,$A27),0)</f>
        <v>0</v>
      </c>
      <c r="G27" s="156"/>
      <c r="H27" s="226">
        <f t="shared" si="0"/>
        <v>0</v>
      </c>
      <c r="I27" s="226">
        <f t="shared" si="1"/>
        <v>0</v>
      </c>
    </row>
    <row r="28" spans="1:9" ht="15" customHeight="1" x14ac:dyDescent="0.3">
      <c r="A28" s="153"/>
      <c r="B28" s="153"/>
      <c r="C28" s="153"/>
      <c r="D28" s="154"/>
      <c r="E28" s="155"/>
      <c r="F28" s="226">
        <f>IFERROR(SUMIFS(Fichas!$F:$F,Fichas!$A:$A,$A28),0)</f>
        <v>0</v>
      </c>
      <c r="G28" s="156"/>
      <c r="H28" s="226">
        <f t="shared" si="0"/>
        <v>0</v>
      </c>
      <c r="I28" s="226">
        <f t="shared" si="1"/>
        <v>0</v>
      </c>
    </row>
    <row r="29" spans="1:9" ht="15" customHeight="1" x14ac:dyDescent="0.3">
      <c r="A29" s="153"/>
      <c r="B29" s="153"/>
      <c r="C29" s="153"/>
      <c r="D29" s="154"/>
      <c r="E29" s="155"/>
      <c r="F29" s="226">
        <f>IFERROR(SUMIFS(Fichas!$F:$F,Fichas!$A:$A,$A29),0)</f>
        <v>0</v>
      </c>
      <c r="G29" s="156"/>
      <c r="H29" s="226">
        <f t="shared" si="0"/>
        <v>0</v>
      </c>
      <c r="I29" s="226">
        <f t="shared" si="1"/>
        <v>0</v>
      </c>
    </row>
    <row r="30" spans="1:9" ht="15" customHeight="1" x14ac:dyDescent="0.3">
      <c r="A30" s="153"/>
      <c r="B30" s="153"/>
      <c r="C30" s="153"/>
      <c r="D30" s="154"/>
      <c r="E30" s="155"/>
      <c r="F30" s="226">
        <f>IFERROR(SUMIFS(Fichas!$F:$F,Fichas!$A:$A,$A30),0)</f>
        <v>0</v>
      </c>
      <c r="G30" s="156"/>
      <c r="H30" s="226">
        <f t="shared" si="0"/>
        <v>0</v>
      </c>
      <c r="I30" s="226">
        <f t="shared" si="1"/>
        <v>0</v>
      </c>
    </row>
    <row r="31" spans="1:9" ht="15" customHeight="1" x14ac:dyDescent="0.3">
      <c r="A31" s="153"/>
      <c r="B31" s="153"/>
      <c r="C31" s="153"/>
      <c r="D31" s="154"/>
      <c r="E31" s="155"/>
      <c r="F31" s="226">
        <f>IFERROR(SUMIFS(Fichas!$F:$F,Fichas!$A:$A,$A31),0)</f>
        <v>0</v>
      </c>
      <c r="G31" s="156"/>
      <c r="H31" s="226">
        <f t="shared" si="0"/>
        <v>0</v>
      </c>
      <c r="I31" s="226">
        <f t="shared" si="1"/>
        <v>0</v>
      </c>
    </row>
    <row r="32" spans="1:9" ht="15" customHeight="1" x14ac:dyDescent="0.3">
      <c r="A32" s="153"/>
      <c r="B32" s="153"/>
      <c r="C32" s="153"/>
      <c r="D32" s="154"/>
      <c r="E32" s="155"/>
      <c r="F32" s="226">
        <f>IFERROR(SUMIFS(Fichas!$F:$F,Fichas!$A:$A,$A32),0)</f>
        <v>0</v>
      </c>
      <c r="G32" s="156"/>
      <c r="H32" s="226">
        <f t="shared" si="0"/>
        <v>0</v>
      </c>
      <c r="I32" s="226">
        <f t="shared" si="1"/>
        <v>0</v>
      </c>
    </row>
    <row r="33" spans="1:9" ht="15" customHeight="1" x14ac:dyDescent="0.3">
      <c r="A33" s="153"/>
      <c r="B33" s="153"/>
      <c r="C33" s="153"/>
      <c r="D33" s="154"/>
      <c r="E33" s="155"/>
      <c r="F33" s="226">
        <f>IFERROR(SUMIFS(Fichas!$F:$F,Fichas!$A:$A,$A33),0)</f>
        <v>0</v>
      </c>
      <c r="G33" s="156"/>
      <c r="H33" s="226">
        <f t="shared" si="0"/>
        <v>0</v>
      </c>
      <c r="I33" s="226">
        <f t="shared" si="1"/>
        <v>0</v>
      </c>
    </row>
    <row r="34" spans="1:9" ht="15" customHeight="1" x14ac:dyDescent="0.3">
      <c r="A34" s="153"/>
      <c r="B34" s="153"/>
      <c r="C34" s="153"/>
      <c r="D34" s="154"/>
      <c r="E34" s="155"/>
      <c r="F34" s="226">
        <f>IFERROR(SUMIFS(Fichas!$F:$F,Fichas!$A:$A,$A34),0)</f>
        <v>0</v>
      </c>
      <c r="G34" s="156"/>
      <c r="H34" s="226">
        <f t="shared" si="0"/>
        <v>0</v>
      </c>
      <c r="I34" s="226">
        <f t="shared" si="1"/>
        <v>0</v>
      </c>
    </row>
    <row r="35" spans="1:9" ht="15" customHeight="1" x14ac:dyDescent="0.3">
      <c r="A35" s="153"/>
      <c r="B35" s="153"/>
      <c r="C35" s="153"/>
      <c r="D35" s="154"/>
      <c r="E35" s="155"/>
      <c r="F35" s="226">
        <f>IFERROR(SUMIFS(Fichas!$F:$F,Fichas!$A:$A,$A35),0)</f>
        <v>0</v>
      </c>
      <c r="G35" s="156"/>
      <c r="H35" s="226">
        <f t="shared" si="0"/>
        <v>0</v>
      </c>
      <c r="I35" s="226">
        <f t="shared" si="1"/>
        <v>0</v>
      </c>
    </row>
    <row r="36" spans="1:9" ht="15" customHeight="1" x14ac:dyDescent="0.3">
      <c r="A36" s="153"/>
      <c r="B36" s="153"/>
      <c r="C36" s="153"/>
      <c r="D36" s="154"/>
      <c r="E36" s="155"/>
      <c r="F36" s="226">
        <f>IFERROR(SUMIFS(Fichas!$F:$F,Fichas!$A:$A,$A36),0)</f>
        <v>0</v>
      </c>
      <c r="G36" s="156"/>
      <c r="H36" s="226">
        <f t="shared" si="0"/>
        <v>0</v>
      </c>
      <c r="I36" s="226">
        <f t="shared" si="1"/>
        <v>0</v>
      </c>
    </row>
    <row r="37" spans="1:9" ht="15" customHeight="1" x14ac:dyDescent="0.3">
      <c r="A37" s="153"/>
      <c r="B37" s="153"/>
      <c r="C37" s="153"/>
      <c r="D37" s="154"/>
      <c r="E37" s="155"/>
      <c r="F37" s="226">
        <f>IFERROR(SUMIFS(Fichas!$F:$F,Fichas!$A:$A,$A37),0)</f>
        <v>0</v>
      </c>
      <c r="G37" s="156"/>
      <c r="H37" s="226">
        <f t="shared" si="0"/>
        <v>0</v>
      </c>
      <c r="I37" s="226">
        <f t="shared" si="1"/>
        <v>0</v>
      </c>
    </row>
    <row r="38" spans="1:9" ht="15" customHeight="1" x14ac:dyDescent="0.3">
      <c r="A38" s="153"/>
      <c r="B38" s="153"/>
      <c r="C38" s="153"/>
      <c r="D38" s="154"/>
      <c r="E38" s="155"/>
      <c r="F38" s="226">
        <f>IFERROR(SUMIFS(Fichas!$F:$F,Fichas!$A:$A,$A38),0)</f>
        <v>0</v>
      </c>
      <c r="G38" s="156"/>
      <c r="H38" s="226">
        <f t="shared" si="0"/>
        <v>0</v>
      </c>
      <c r="I38" s="226">
        <f t="shared" si="1"/>
        <v>0</v>
      </c>
    </row>
    <row r="39" spans="1:9" ht="15" customHeight="1" x14ac:dyDescent="0.3">
      <c r="A39" s="153"/>
      <c r="B39" s="153"/>
      <c r="C39" s="153"/>
      <c r="D39" s="154"/>
      <c r="E39" s="155"/>
      <c r="F39" s="226">
        <f>IFERROR(SUMIFS(Fichas!$F:$F,Fichas!$A:$A,$A39),0)</f>
        <v>0</v>
      </c>
      <c r="G39" s="156"/>
      <c r="H39" s="226">
        <f t="shared" si="0"/>
        <v>0</v>
      </c>
      <c r="I39" s="226">
        <f t="shared" si="1"/>
        <v>0</v>
      </c>
    </row>
    <row r="40" spans="1:9" ht="15" customHeight="1" x14ac:dyDescent="0.3">
      <c r="A40" s="153"/>
      <c r="B40" s="153"/>
      <c r="C40" s="153"/>
      <c r="D40" s="154"/>
      <c r="E40" s="155"/>
      <c r="F40" s="226">
        <f>IFERROR(SUMIFS(Fichas!$F:$F,Fichas!$A:$A,$A40),0)</f>
        <v>0</v>
      </c>
      <c r="G40" s="156"/>
      <c r="H40" s="226">
        <f t="shared" si="0"/>
        <v>0</v>
      </c>
      <c r="I40" s="226">
        <f t="shared" si="1"/>
        <v>0</v>
      </c>
    </row>
    <row r="41" spans="1:9" ht="15" customHeight="1" x14ac:dyDescent="0.3">
      <c r="A41" s="153"/>
      <c r="B41" s="153"/>
      <c r="C41" s="153"/>
      <c r="D41" s="154"/>
      <c r="E41" s="155"/>
      <c r="F41" s="226">
        <f>IFERROR(SUMIFS(Fichas!$F:$F,Fichas!$A:$A,$A41),0)</f>
        <v>0</v>
      </c>
      <c r="G41" s="156"/>
      <c r="H41" s="226">
        <f t="shared" si="0"/>
        <v>0</v>
      </c>
      <c r="I41" s="226">
        <f t="shared" si="1"/>
        <v>0</v>
      </c>
    </row>
    <row r="42" spans="1:9" ht="15" customHeight="1" x14ac:dyDescent="0.3">
      <c r="A42" s="153"/>
      <c r="B42" s="153"/>
      <c r="C42" s="153"/>
      <c r="D42" s="154"/>
      <c r="E42" s="155"/>
      <c r="F42" s="226">
        <f>IFERROR(SUMIFS(Fichas!$F:$F,Fichas!$A:$A,$A42),0)</f>
        <v>0</v>
      </c>
      <c r="G42" s="156"/>
      <c r="H42" s="226">
        <f t="shared" si="0"/>
        <v>0</v>
      </c>
      <c r="I42" s="226">
        <f t="shared" si="1"/>
        <v>0</v>
      </c>
    </row>
    <row r="43" spans="1:9" ht="15" customHeight="1" x14ac:dyDescent="0.3">
      <c r="A43" s="153"/>
      <c r="B43" s="153"/>
      <c r="C43" s="153"/>
      <c r="D43" s="154"/>
      <c r="E43" s="155"/>
      <c r="F43" s="226">
        <f>IFERROR(SUMIFS(Fichas!$F:$F,Fichas!$A:$A,$A43),0)</f>
        <v>0</v>
      </c>
      <c r="G43" s="156"/>
      <c r="H43" s="226">
        <f t="shared" si="0"/>
        <v>0</v>
      </c>
      <c r="I43" s="226">
        <f t="shared" si="1"/>
        <v>0</v>
      </c>
    </row>
    <row r="44" spans="1:9" ht="15" customHeight="1" x14ac:dyDescent="0.3">
      <c r="A44" s="153"/>
      <c r="B44" s="153"/>
      <c r="C44" s="153"/>
      <c r="D44" s="154"/>
      <c r="E44" s="155"/>
      <c r="F44" s="226">
        <f>IFERROR(SUMIFS(Fichas!$F:$F,Fichas!$A:$A,$A44),0)</f>
        <v>0</v>
      </c>
      <c r="G44" s="156"/>
      <c r="H44" s="226">
        <f t="shared" si="0"/>
        <v>0</v>
      </c>
      <c r="I44" s="226">
        <f t="shared" si="1"/>
        <v>0</v>
      </c>
    </row>
    <row r="46" spans="1:9" ht="15" customHeight="1" x14ac:dyDescent="0.3">
      <c r="A46" s="158"/>
    </row>
  </sheetData>
  <sheetProtection sheet="1" objects="1" scenarios="1" formatCells="0" formatColumns="0" formatRows="0" insertHyperlinks="0" sort="0" autoFilter="0"/>
  <mergeCells count="2">
    <mergeCell ref="A1:I1"/>
    <mergeCell ref="A2:I2"/>
  </mergeCells>
  <pageMargins left="0.75" right="0.75" top="1" bottom="1"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7"/>
  <sheetViews>
    <sheetView zoomScaleNormal="100" workbookViewId="0">
      <pane ySplit="4" topLeftCell="A5" activePane="bottomLeft" state="frozen"/>
      <selection pane="bottomLeft" activeCell="J6" sqref="J6"/>
    </sheetView>
  </sheetViews>
  <sheetFormatPr baseColWidth="10" defaultColWidth="8.6640625" defaultRowHeight="14.4" x14ac:dyDescent="0.3"/>
  <cols>
    <col min="1" max="1" width="10" style="2" customWidth="1"/>
    <col min="2" max="2" width="26" style="2" customWidth="1"/>
    <col min="3" max="3" width="10" style="2" customWidth="1"/>
    <col min="4" max="4" width="13" style="2" customWidth="1"/>
    <col min="5" max="5" width="11" style="2" customWidth="1"/>
    <col min="6" max="6" width="13" style="2" customWidth="1"/>
    <col min="7" max="7" width="11" style="2" customWidth="1"/>
    <col min="8" max="9" width="12" style="2" customWidth="1"/>
    <col min="10" max="10" width="13" style="2" customWidth="1"/>
    <col min="11" max="16384" width="8.6640625" style="2"/>
  </cols>
  <sheetData>
    <row r="1" spans="1:10" ht="27.75" customHeight="1" x14ac:dyDescent="0.3">
      <c r="A1" s="151" t="s">
        <v>172</v>
      </c>
      <c r="B1" s="4"/>
      <c r="C1" s="4"/>
      <c r="D1" s="4"/>
      <c r="E1" s="4"/>
      <c r="F1" s="4"/>
      <c r="G1" s="4"/>
      <c r="H1" s="4"/>
      <c r="I1" s="4"/>
      <c r="J1" s="4"/>
    </row>
    <row r="2" spans="1:10" ht="15" customHeight="1" x14ac:dyDescent="0.3">
      <c r="A2" s="138" t="s">
        <v>328</v>
      </c>
      <c r="B2" s="139"/>
      <c r="C2" s="139"/>
      <c r="D2" s="139"/>
      <c r="E2" s="139"/>
      <c r="F2" s="139"/>
      <c r="G2" s="139"/>
      <c r="H2" s="139"/>
      <c r="I2" s="139"/>
      <c r="J2" s="139"/>
    </row>
    <row r="3" spans="1:10" ht="15" customHeight="1" x14ac:dyDescent="0.3">
      <c r="A3" s="152"/>
    </row>
    <row r="4" spans="1:10" ht="31.5" customHeight="1" x14ac:dyDescent="0.3">
      <c r="A4" s="141" t="s">
        <v>91</v>
      </c>
      <c r="B4" s="141" t="s">
        <v>173</v>
      </c>
      <c r="C4" s="141" t="s">
        <v>174</v>
      </c>
      <c r="D4" s="141" t="s">
        <v>175</v>
      </c>
      <c r="E4" s="141" t="s">
        <v>176</v>
      </c>
      <c r="F4" s="141" t="s">
        <v>177</v>
      </c>
      <c r="G4" s="141" t="s">
        <v>178</v>
      </c>
      <c r="H4" s="141" t="s">
        <v>179</v>
      </c>
      <c r="I4" s="141" t="s">
        <v>180</v>
      </c>
      <c r="J4" s="141" t="s">
        <v>181</v>
      </c>
    </row>
    <row r="5" spans="1:10" ht="15" customHeight="1" x14ac:dyDescent="0.3">
      <c r="A5" s="153" t="s">
        <v>182</v>
      </c>
      <c r="B5" s="153" t="s">
        <v>183</v>
      </c>
      <c r="C5" s="153" t="s">
        <v>184</v>
      </c>
      <c r="D5" s="155">
        <v>95</v>
      </c>
      <c r="E5" s="159">
        <v>1656</v>
      </c>
      <c r="F5" s="159">
        <v>1015</v>
      </c>
      <c r="G5" s="159">
        <v>1543</v>
      </c>
      <c r="H5" s="227">
        <f t="shared" ref="H5:H36" si="0">IFERROR(E5+F5-G5,0)</f>
        <v>1128</v>
      </c>
      <c r="I5" s="227">
        <f>IFERROR(SUMIFS(Fichas!$E:$E,Fichas!$B:$B,$A5),0)</f>
        <v>911</v>
      </c>
      <c r="J5" s="226">
        <f t="shared" ref="J5:J36" si="1">IFERROR((H5-I5)*D5,0)</f>
        <v>20615</v>
      </c>
    </row>
    <row r="6" spans="1:10" ht="15" customHeight="1" x14ac:dyDescent="0.3">
      <c r="A6" s="153" t="s">
        <v>185</v>
      </c>
      <c r="B6" s="153" t="s">
        <v>186</v>
      </c>
      <c r="C6" s="153" t="s">
        <v>187</v>
      </c>
      <c r="D6" s="155">
        <v>18</v>
      </c>
      <c r="E6" s="159">
        <v>2976</v>
      </c>
      <c r="F6" s="159">
        <v>1741</v>
      </c>
      <c r="G6" s="159">
        <v>2783</v>
      </c>
      <c r="H6" s="227">
        <f t="shared" si="0"/>
        <v>1934</v>
      </c>
      <c r="I6" s="227">
        <f>IFERROR(SUMIFS(Fichas!$E:$E,Fichas!$B:$B,$A6),0)</f>
        <v>1020</v>
      </c>
      <c r="J6" s="226">
        <f t="shared" si="1"/>
        <v>16452</v>
      </c>
    </row>
    <row r="7" spans="1:10" ht="15" customHeight="1" x14ac:dyDescent="0.3">
      <c r="A7" s="153" t="s">
        <v>188</v>
      </c>
      <c r="B7" s="153" t="s">
        <v>189</v>
      </c>
      <c r="C7" s="153" t="s">
        <v>184</v>
      </c>
      <c r="D7" s="155">
        <v>120</v>
      </c>
      <c r="E7" s="159">
        <v>512</v>
      </c>
      <c r="F7" s="159">
        <v>340</v>
      </c>
      <c r="G7" s="159">
        <v>474</v>
      </c>
      <c r="H7" s="227">
        <f t="shared" si="0"/>
        <v>378</v>
      </c>
      <c r="I7" s="227">
        <f>IFERROR(SUMIFS(Fichas!$E:$E,Fichas!$B:$B,$A7),0)</f>
        <v>240</v>
      </c>
      <c r="J7" s="226">
        <f t="shared" si="1"/>
        <v>16560</v>
      </c>
    </row>
    <row r="8" spans="1:10" ht="15" customHeight="1" x14ac:dyDescent="0.3">
      <c r="A8" s="153" t="s">
        <v>190</v>
      </c>
      <c r="B8" s="153" t="s">
        <v>136</v>
      </c>
      <c r="C8" s="153" t="s">
        <v>187</v>
      </c>
      <c r="D8" s="155">
        <v>210</v>
      </c>
      <c r="E8" s="159">
        <v>1008</v>
      </c>
      <c r="F8" s="159">
        <v>579</v>
      </c>
      <c r="G8" s="159">
        <v>944</v>
      </c>
      <c r="H8" s="227">
        <f t="shared" si="0"/>
        <v>643</v>
      </c>
      <c r="I8" s="227">
        <f>IFERROR(SUMIFS(Fichas!$E:$E,Fichas!$B:$B,$A8),0)</f>
        <v>270</v>
      </c>
      <c r="J8" s="226">
        <f t="shared" si="1"/>
        <v>78330</v>
      </c>
    </row>
    <row r="9" spans="1:10" ht="15" customHeight="1" x14ac:dyDescent="0.3">
      <c r="A9" s="153" t="s">
        <v>191</v>
      </c>
      <c r="B9" s="153" t="s">
        <v>192</v>
      </c>
      <c r="C9" s="153" t="s">
        <v>187</v>
      </c>
      <c r="D9" s="155">
        <v>22</v>
      </c>
      <c r="E9" s="159">
        <v>7824</v>
      </c>
      <c r="F9" s="159">
        <v>4445</v>
      </c>
      <c r="G9" s="159">
        <v>7330</v>
      </c>
      <c r="H9" s="227">
        <f t="shared" si="0"/>
        <v>4939</v>
      </c>
      <c r="I9" s="227">
        <f>IFERROR(SUMIFS(Fichas!$E:$E,Fichas!$B:$B,$A9),0)</f>
        <v>2420</v>
      </c>
      <c r="J9" s="226">
        <f t="shared" si="1"/>
        <v>55418</v>
      </c>
    </row>
    <row r="10" spans="1:10" ht="15" customHeight="1" x14ac:dyDescent="0.3">
      <c r="A10" s="153" t="s">
        <v>193</v>
      </c>
      <c r="B10" s="153" t="s">
        <v>194</v>
      </c>
      <c r="C10" s="153" t="s">
        <v>187</v>
      </c>
      <c r="D10" s="155">
        <v>85</v>
      </c>
      <c r="E10" s="159">
        <v>691</v>
      </c>
      <c r="F10" s="159">
        <v>412</v>
      </c>
      <c r="G10" s="159">
        <v>645</v>
      </c>
      <c r="H10" s="227">
        <f t="shared" si="0"/>
        <v>458</v>
      </c>
      <c r="I10" s="227">
        <f>IFERROR(SUMIFS(Fichas!$E:$E,Fichas!$B:$B,$A10),0)</f>
        <v>252</v>
      </c>
      <c r="J10" s="226">
        <f t="shared" si="1"/>
        <v>17510</v>
      </c>
    </row>
    <row r="11" spans="1:10" ht="15" customHeight="1" x14ac:dyDescent="0.3">
      <c r="A11" s="146" t="s">
        <v>195</v>
      </c>
      <c r="B11" s="146" t="s">
        <v>196</v>
      </c>
      <c r="C11" s="146" t="s">
        <v>184</v>
      </c>
      <c r="D11" s="157">
        <v>120</v>
      </c>
      <c r="E11" s="147">
        <v>236</v>
      </c>
      <c r="F11" s="147">
        <v>78</v>
      </c>
      <c r="G11" s="147">
        <v>105</v>
      </c>
      <c r="H11" s="227">
        <f t="shared" si="0"/>
        <v>209</v>
      </c>
      <c r="I11" s="227">
        <f>IFERROR(SUMIFS(Fichas!$E:$E,Fichas!$B:$B,$A11),0)</f>
        <v>200</v>
      </c>
      <c r="J11" s="226">
        <f t="shared" si="1"/>
        <v>1080</v>
      </c>
    </row>
    <row r="12" spans="1:10" ht="15" customHeight="1" x14ac:dyDescent="0.3">
      <c r="A12" s="146" t="s">
        <v>197</v>
      </c>
      <c r="B12" s="146" t="s">
        <v>198</v>
      </c>
      <c r="C12" s="146" t="s">
        <v>187</v>
      </c>
      <c r="D12" s="157">
        <v>18</v>
      </c>
      <c r="E12" s="147">
        <v>1000</v>
      </c>
      <c r="F12" s="147">
        <v>333</v>
      </c>
      <c r="G12" s="147">
        <v>395</v>
      </c>
      <c r="H12" s="227">
        <f t="shared" si="0"/>
        <v>938</v>
      </c>
      <c r="I12" s="227">
        <f>IFERROR(SUMIFS(Fichas!$E:$E,Fichas!$B:$B,$A12),0)</f>
        <v>850</v>
      </c>
      <c r="J12" s="226">
        <f t="shared" si="1"/>
        <v>1584</v>
      </c>
    </row>
    <row r="13" spans="1:10" ht="15" customHeight="1" x14ac:dyDescent="0.3">
      <c r="A13" s="146" t="s">
        <v>199</v>
      </c>
      <c r="B13" s="146" t="s">
        <v>200</v>
      </c>
      <c r="C13" s="146" t="s">
        <v>187</v>
      </c>
      <c r="D13" s="157">
        <v>280</v>
      </c>
      <c r="E13" s="147">
        <v>266</v>
      </c>
      <c r="F13" s="147">
        <v>24</v>
      </c>
      <c r="G13" s="147">
        <v>97</v>
      </c>
      <c r="H13" s="227">
        <f t="shared" si="0"/>
        <v>193</v>
      </c>
      <c r="I13" s="227">
        <f>IFERROR(SUMIFS(Fichas!$E:$E,Fichas!$B:$B,$A13),0)</f>
        <v>180</v>
      </c>
      <c r="J13" s="226">
        <f t="shared" si="1"/>
        <v>3640</v>
      </c>
    </row>
    <row r="14" spans="1:10" ht="15" customHeight="1" x14ac:dyDescent="0.3">
      <c r="A14" s="146" t="s">
        <v>201</v>
      </c>
      <c r="B14" s="146" t="s">
        <v>202</v>
      </c>
      <c r="C14" s="146" t="s">
        <v>187</v>
      </c>
      <c r="D14" s="157">
        <v>140</v>
      </c>
      <c r="E14" s="147">
        <v>617</v>
      </c>
      <c r="F14" s="147">
        <v>96</v>
      </c>
      <c r="G14" s="147">
        <v>166</v>
      </c>
      <c r="H14" s="227">
        <f t="shared" si="0"/>
        <v>547</v>
      </c>
      <c r="I14" s="227">
        <f>IFERROR(SUMIFS(Fichas!$E:$E,Fichas!$B:$B,$A14),0)</f>
        <v>530</v>
      </c>
      <c r="J14" s="226">
        <f t="shared" si="1"/>
        <v>2380</v>
      </c>
    </row>
    <row r="15" spans="1:10" ht="15" customHeight="1" x14ac:dyDescent="0.3">
      <c r="A15" s="146" t="s">
        <v>203</v>
      </c>
      <c r="B15" s="146" t="s">
        <v>204</v>
      </c>
      <c r="C15" s="146" t="s">
        <v>187</v>
      </c>
      <c r="D15" s="157">
        <v>950</v>
      </c>
      <c r="E15" s="147">
        <v>323</v>
      </c>
      <c r="F15" s="147">
        <v>149</v>
      </c>
      <c r="G15" s="147">
        <v>164</v>
      </c>
      <c r="H15" s="227">
        <f t="shared" si="0"/>
        <v>308</v>
      </c>
      <c r="I15" s="227">
        <f>IFERROR(SUMIFS(Fichas!$E:$E,Fichas!$B:$B,$A15),0)</f>
        <v>288</v>
      </c>
      <c r="J15" s="226">
        <f t="shared" si="1"/>
        <v>19000</v>
      </c>
    </row>
    <row r="16" spans="1:10" ht="15" customHeight="1" x14ac:dyDescent="0.3">
      <c r="A16" s="146" t="s">
        <v>205</v>
      </c>
      <c r="B16" s="146" t="s">
        <v>206</v>
      </c>
      <c r="C16" s="146" t="s">
        <v>187</v>
      </c>
      <c r="D16" s="157">
        <v>45</v>
      </c>
      <c r="E16" s="147">
        <v>584</v>
      </c>
      <c r="F16" s="147">
        <v>145</v>
      </c>
      <c r="G16" s="147">
        <v>249</v>
      </c>
      <c r="H16" s="227">
        <f t="shared" si="0"/>
        <v>480</v>
      </c>
      <c r="I16" s="227">
        <f>IFERROR(SUMIFS(Fichas!$E:$E,Fichas!$B:$B,$A16),0)</f>
        <v>462</v>
      </c>
      <c r="J16" s="226">
        <f t="shared" si="1"/>
        <v>810</v>
      </c>
    </row>
    <row r="17" spans="1:10" ht="15" customHeight="1" x14ac:dyDescent="0.3">
      <c r="A17" s="146" t="s">
        <v>207</v>
      </c>
      <c r="B17" s="146" t="s">
        <v>208</v>
      </c>
      <c r="C17" s="146" t="s">
        <v>184</v>
      </c>
      <c r="D17" s="157">
        <v>65</v>
      </c>
      <c r="E17" s="147">
        <v>556</v>
      </c>
      <c r="F17" s="147">
        <v>82</v>
      </c>
      <c r="G17" s="147">
        <v>171</v>
      </c>
      <c r="H17" s="227">
        <f t="shared" si="0"/>
        <v>467</v>
      </c>
      <c r="I17" s="227">
        <f>IFERROR(SUMIFS(Fichas!$E:$E,Fichas!$B:$B,$A17),0)</f>
        <v>425</v>
      </c>
      <c r="J17" s="226">
        <f t="shared" si="1"/>
        <v>2730</v>
      </c>
    </row>
    <row r="18" spans="1:10" ht="15" customHeight="1" x14ac:dyDescent="0.3">
      <c r="A18" s="153"/>
      <c r="B18" s="153"/>
      <c r="C18" s="153"/>
      <c r="D18" s="155"/>
      <c r="E18" s="154"/>
      <c r="F18" s="154"/>
      <c r="G18" s="154"/>
      <c r="H18" s="227">
        <f t="shared" si="0"/>
        <v>0</v>
      </c>
      <c r="I18" s="227">
        <f>IFERROR(SUMIFS(Fichas!$E:$E,Fichas!$B:$B,$A18),0)</f>
        <v>0</v>
      </c>
      <c r="J18" s="226">
        <f t="shared" si="1"/>
        <v>0</v>
      </c>
    </row>
    <row r="19" spans="1:10" ht="15" customHeight="1" x14ac:dyDescent="0.3">
      <c r="A19" s="153"/>
      <c r="B19" s="153"/>
      <c r="C19" s="153"/>
      <c r="D19" s="155"/>
      <c r="E19" s="154"/>
      <c r="F19" s="154"/>
      <c r="G19" s="154"/>
      <c r="H19" s="227">
        <f t="shared" si="0"/>
        <v>0</v>
      </c>
      <c r="I19" s="227">
        <f>IFERROR(SUMIFS(Fichas!$E:$E,Fichas!$B:$B,$A19),0)</f>
        <v>0</v>
      </c>
      <c r="J19" s="226">
        <f t="shared" si="1"/>
        <v>0</v>
      </c>
    </row>
    <row r="20" spans="1:10" ht="15" customHeight="1" x14ac:dyDescent="0.3">
      <c r="A20" s="153"/>
      <c r="B20" s="153"/>
      <c r="C20" s="153"/>
      <c r="D20" s="155"/>
      <c r="E20" s="154"/>
      <c r="F20" s="154"/>
      <c r="G20" s="154"/>
      <c r="H20" s="227">
        <f t="shared" si="0"/>
        <v>0</v>
      </c>
      <c r="I20" s="227">
        <f>IFERROR(SUMIFS(Fichas!$E:$E,Fichas!$B:$B,$A20),0)</f>
        <v>0</v>
      </c>
      <c r="J20" s="226">
        <f t="shared" si="1"/>
        <v>0</v>
      </c>
    </row>
    <row r="21" spans="1:10" ht="15" customHeight="1" x14ac:dyDescent="0.3">
      <c r="A21" s="153"/>
      <c r="B21" s="153"/>
      <c r="C21" s="153"/>
      <c r="D21" s="155"/>
      <c r="E21" s="154"/>
      <c r="F21" s="154"/>
      <c r="G21" s="154"/>
      <c r="H21" s="227">
        <f t="shared" si="0"/>
        <v>0</v>
      </c>
      <c r="I21" s="227">
        <f>IFERROR(SUMIFS(Fichas!$E:$E,Fichas!$B:$B,$A21),0)</f>
        <v>0</v>
      </c>
      <c r="J21" s="226">
        <f t="shared" si="1"/>
        <v>0</v>
      </c>
    </row>
    <row r="22" spans="1:10" ht="15" customHeight="1" x14ac:dyDescent="0.3">
      <c r="A22" s="153"/>
      <c r="B22" s="153"/>
      <c r="C22" s="153"/>
      <c r="D22" s="155"/>
      <c r="E22" s="154"/>
      <c r="F22" s="154"/>
      <c r="G22" s="154"/>
      <c r="H22" s="227">
        <f t="shared" si="0"/>
        <v>0</v>
      </c>
      <c r="I22" s="227">
        <f>IFERROR(SUMIFS(Fichas!$E:$E,Fichas!$B:$B,$A22),0)</f>
        <v>0</v>
      </c>
      <c r="J22" s="226">
        <f t="shared" si="1"/>
        <v>0</v>
      </c>
    </row>
    <row r="23" spans="1:10" ht="15" customHeight="1" x14ac:dyDescent="0.3">
      <c r="A23" s="153"/>
      <c r="B23" s="153"/>
      <c r="C23" s="153"/>
      <c r="D23" s="155"/>
      <c r="E23" s="154"/>
      <c r="F23" s="154"/>
      <c r="G23" s="154"/>
      <c r="H23" s="227">
        <f t="shared" si="0"/>
        <v>0</v>
      </c>
      <c r="I23" s="227">
        <f>IFERROR(SUMIFS(Fichas!$E:$E,Fichas!$B:$B,$A23),0)</f>
        <v>0</v>
      </c>
      <c r="J23" s="226">
        <f t="shared" si="1"/>
        <v>0</v>
      </c>
    </row>
    <row r="24" spans="1:10" ht="15" customHeight="1" x14ac:dyDescent="0.3">
      <c r="A24" s="153"/>
      <c r="B24" s="153"/>
      <c r="C24" s="153"/>
      <c r="D24" s="155"/>
      <c r="E24" s="154"/>
      <c r="F24" s="154"/>
      <c r="G24" s="154"/>
      <c r="H24" s="227">
        <f t="shared" si="0"/>
        <v>0</v>
      </c>
      <c r="I24" s="227">
        <f>IFERROR(SUMIFS(Fichas!$E:$E,Fichas!$B:$B,$A24),0)</f>
        <v>0</v>
      </c>
      <c r="J24" s="226">
        <f t="shared" si="1"/>
        <v>0</v>
      </c>
    </row>
    <row r="25" spans="1:10" ht="15" customHeight="1" x14ac:dyDescent="0.3">
      <c r="A25" s="153"/>
      <c r="B25" s="153"/>
      <c r="C25" s="153"/>
      <c r="D25" s="155"/>
      <c r="E25" s="154"/>
      <c r="F25" s="154"/>
      <c r="G25" s="154"/>
      <c r="H25" s="227">
        <f t="shared" si="0"/>
        <v>0</v>
      </c>
      <c r="I25" s="227">
        <f>IFERROR(SUMIFS(Fichas!$E:$E,Fichas!$B:$B,$A25),0)</f>
        <v>0</v>
      </c>
      <c r="J25" s="226">
        <f t="shared" si="1"/>
        <v>0</v>
      </c>
    </row>
    <row r="26" spans="1:10" ht="15" customHeight="1" x14ac:dyDescent="0.3">
      <c r="A26" s="153"/>
      <c r="B26" s="153"/>
      <c r="C26" s="153"/>
      <c r="D26" s="155"/>
      <c r="E26" s="154"/>
      <c r="F26" s="154"/>
      <c r="G26" s="154"/>
      <c r="H26" s="227">
        <f t="shared" si="0"/>
        <v>0</v>
      </c>
      <c r="I26" s="227">
        <f>IFERROR(SUMIFS(Fichas!$E:$E,Fichas!$B:$B,$A26),0)</f>
        <v>0</v>
      </c>
      <c r="J26" s="226">
        <f t="shared" si="1"/>
        <v>0</v>
      </c>
    </row>
    <row r="27" spans="1:10" ht="15" customHeight="1" x14ac:dyDescent="0.3">
      <c r="A27" s="153"/>
      <c r="B27" s="153"/>
      <c r="C27" s="153"/>
      <c r="D27" s="155"/>
      <c r="E27" s="154"/>
      <c r="F27" s="154"/>
      <c r="G27" s="154"/>
      <c r="H27" s="227">
        <f t="shared" si="0"/>
        <v>0</v>
      </c>
      <c r="I27" s="227">
        <f>IFERROR(SUMIFS(Fichas!$E:$E,Fichas!$B:$B,$A27),0)</f>
        <v>0</v>
      </c>
      <c r="J27" s="226">
        <f t="shared" si="1"/>
        <v>0</v>
      </c>
    </row>
    <row r="28" spans="1:10" ht="15" customHeight="1" x14ac:dyDescent="0.3">
      <c r="A28" s="153"/>
      <c r="B28" s="153"/>
      <c r="C28" s="153"/>
      <c r="D28" s="155"/>
      <c r="E28" s="154"/>
      <c r="F28" s="154"/>
      <c r="G28" s="154"/>
      <c r="H28" s="227">
        <f t="shared" si="0"/>
        <v>0</v>
      </c>
      <c r="I28" s="227">
        <f>IFERROR(SUMIFS(Fichas!$E:$E,Fichas!$B:$B,$A28),0)</f>
        <v>0</v>
      </c>
      <c r="J28" s="226">
        <f t="shared" si="1"/>
        <v>0</v>
      </c>
    </row>
    <row r="29" spans="1:10" ht="15" customHeight="1" x14ac:dyDescent="0.3">
      <c r="A29" s="153"/>
      <c r="B29" s="153"/>
      <c r="C29" s="153"/>
      <c r="D29" s="155"/>
      <c r="E29" s="154"/>
      <c r="F29" s="154"/>
      <c r="G29" s="154"/>
      <c r="H29" s="227">
        <f t="shared" si="0"/>
        <v>0</v>
      </c>
      <c r="I29" s="227">
        <f>IFERROR(SUMIFS(Fichas!$E:$E,Fichas!$B:$B,$A29),0)</f>
        <v>0</v>
      </c>
      <c r="J29" s="226">
        <f t="shared" si="1"/>
        <v>0</v>
      </c>
    </row>
    <row r="30" spans="1:10" ht="15" customHeight="1" x14ac:dyDescent="0.3">
      <c r="A30" s="153"/>
      <c r="B30" s="153"/>
      <c r="C30" s="153"/>
      <c r="D30" s="155"/>
      <c r="E30" s="154"/>
      <c r="F30" s="154"/>
      <c r="G30" s="154"/>
      <c r="H30" s="227">
        <f t="shared" si="0"/>
        <v>0</v>
      </c>
      <c r="I30" s="227">
        <f>IFERROR(SUMIFS(Fichas!$E:$E,Fichas!$B:$B,$A30),0)</f>
        <v>0</v>
      </c>
      <c r="J30" s="226">
        <f t="shared" si="1"/>
        <v>0</v>
      </c>
    </row>
    <row r="31" spans="1:10" ht="15" customHeight="1" x14ac:dyDescent="0.3">
      <c r="A31" s="153"/>
      <c r="B31" s="153"/>
      <c r="C31" s="153"/>
      <c r="D31" s="155"/>
      <c r="E31" s="154"/>
      <c r="F31" s="154"/>
      <c r="G31" s="154"/>
      <c r="H31" s="227">
        <f t="shared" si="0"/>
        <v>0</v>
      </c>
      <c r="I31" s="227">
        <f>IFERROR(SUMIFS(Fichas!$E:$E,Fichas!$B:$B,$A31),0)</f>
        <v>0</v>
      </c>
      <c r="J31" s="226">
        <f t="shared" si="1"/>
        <v>0</v>
      </c>
    </row>
    <row r="32" spans="1:10" ht="15" customHeight="1" x14ac:dyDescent="0.3">
      <c r="A32" s="153"/>
      <c r="B32" s="153"/>
      <c r="C32" s="153"/>
      <c r="D32" s="155"/>
      <c r="E32" s="154"/>
      <c r="F32" s="154"/>
      <c r="G32" s="154"/>
      <c r="H32" s="227">
        <f t="shared" si="0"/>
        <v>0</v>
      </c>
      <c r="I32" s="227">
        <f>IFERROR(SUMIFS(Fichas!$E:$E,Fichas!$B:$B,$A32),0)</f>
        <v>0</v>
      </c>
      <c r="J32" s="226">
        <f t="shared" si="1"/>
        <v>0</v>
      </c>
    </row>
    <row r="33" spans="1:10" ht="15" customHeight="1" x14ac:dyDescent="0.3">
      <c r="A33" s="153"/>
      <c r="B33" s="153"/>
      <c r="C33" s="153"/>
      <c r="D33" s="155"/>
      <c r="E33" s="154"/>
      <c r="F33" s="154"/>
      <c r="G33" s="154"/>
      <c r="H33" s="227">
        <f t="shared" si="0"/>
        <v>0</v>
      </c>
      <c r="I33" s="227">
        <f>IFERROR(SUMIFS(Fichas!$E:$E,Fichas!$B:$B,$A33),0)</f>
        <v>0</v>
      </c>
      <c r="J33" s="226">
        <f t="shared" si="1"/>
        <v>0</v>
      </c>
    </row>
    <row r="34" spans="1:10" ht="15" customHeight="1" x14ac:dyDescent="0.3">
      <c r="A34" s="153"/>
      <c r="B34" s="153"/>
      <c r="C34" s="153"/>
      <c r="D34" s="155"/>
      <c r="E34" s="154"/>
      <c r="F34" s="154"/>
      <c r="G34" s="154"/>
      <c r="H34" s="227">
        <f t="shared" si="0"/>
        <v>0</v>
      </c>
      <c r="I34" s="227">
        <f>IFERROR(SUMIFS(Fichas!$E:$E,Fichas!$B:$B,$A34),0)</f>
        <v>0</v>
      </c>
      <c r="J34" s="226">
        <f t="shared" si="1"/>
        <v>0</v>
      </c>
    </row>
    <row r="35" spans="1:10" ht="15" customHeight="1" x14ac:dyDescent="0.3">
      <c r="A35" s="153"/>
      <c r="B35" s="153"/>
      <c r="C35" s="153"/>
      <c r="D35" s="155"/>
      <c r="E35" s="154"/>
      <c r="F35" s="154"/>
      <c r="G35" s="154"/>
      <c r="H35" s="227">
        <f t="shared" si="0"/>
        <v>0</v>
      </c>
      <c r="I35" s="227">
        <f>IFERROR(SUMIFS(Fichas!$E:$E,Fichas!$B:$B,$A35),0)</f>
        <v>0</v>
      </c>
      <c r="J35" s="226">
        <f t="shared" si="1"/>
        <v>0</v>
      </c>
    </row>
    <row r="36" spans="1:10" ht="15" customHeight="1" x14ac:dyDescent="0.3">
      <c r="A36" s="153"/>
      <c r="B36" s="153"/>
      <c r="C36" s="153"/>
      <c r="D36" s="155"/>
      <c r="E36" s="154"/>
      <c r="F36" s="154"/>
      <c r="G36" s="154"/>
      <c r="H36" s="227">
        <f t="shared" si="0"/>
        <v>0</v>
      </c>
      <c r="I36" s="227">
        <f>IFERROR(SUMIFS(Fichas!$E:$E,Fichas!$B:$B,$A36),0)</f>
        <v>0</v>
      </c>
      <c r="J36" s="226">
        <f t="shared" si="1"/>
        <v>0</v>
      </c>
    </row>
    <row r="37" spans="1:10" ht="15" customHeight="1" x14ac:dyDescent="0.3">
      <c r="A37" s="153"/>
      <c r="B37" s="153"/>
      <c r="C37" s="153"/>
      <c r="D37" s="155"/>
      <c r="E37" s="154"/>
      <c r="F37" s="154"/>
      <c r="G37" s="154"/>
      <c r="H37" s="227">
        <f t="shared" ref="H37:H64" si="2">IFERROR(E37+F37-G37,0)</f>
        <v>0</v>
      </c>
      <c r="I37" s="227">
        <f>IFERROR(SUMIFS(Fichas!$E:$E,Fichas!$B:$B,$A37),0)</f>
        <v>0</v>
      </c>
      <c r="J37" s="226">
        <f t="shared" ref="J37:J64" si="3">IFERROR((H37-I37)*D37,0)</f>
        <v>0</v>
      </c>
    </row>
    <row r="38" spans="1:10" ht="15" customHeight="1" x14ac:dyDescent="0.3">
      <c r="A38" s="153"/>
      <c r="B38" s="153"/>
      <c r="C38" s="153"/>
      <c r="D38" s="155"/>
      <c r="E38" s="154"/>
      <c r="F38" s="154"/>
      <c r="G38" s="154"/>
      <c r="H38" s="227">
        <f t="shared" si="2"/>
        <v>0</v>
      </c>
      <c r="I38" s="227">
        <f>IFERROR(SUMIFS(Fichas!$E:$E,Fichas!$B:$B,$A38),0)</f>
        <v>0</v>
      </c>
      <c r="J38" s="226">
        <f t="shared" si="3"/>
        <v>0</v>
      </c>
    </row>
    <row r="39" spans="1:10" ht="15" customHeight="1" x14ac:dyDescent="0.3">
      <c r="A39" s="153"/>
      <c r="B39" s="153"/>
      <c r="C39" s="153"/>
      <c r="D39" s="155"/>
      <c r="E39" s="154"/>
      <c r="F39" s="154"/>
      <c r="G39" s="154"/>
      <c r="H39" s="227">
        <f t="shared" si="2"/>
        <v>0</v>
      </c>
      <c r="I39" s="227">
        <f>IFERROR(SUMIFS(Fichas!$E:$E,Fichas!$B:$B,$A39),0)</f>
        <v>0</v>
      </c>
      <c r="J39" s="226">
        <f t="shared" si="3"/>
        <v>0</v>
      </c>
    </row>
    <row r="40" spans="1:10" ht="15" customHeight="1" x14ac:dyDescent="0.3">
      <c r="A40" s="153"/>
      <c r="B40" s="153"/>
      <c r="C40" s="153"/>
      <c r="D40" s="155"/>
      <c r="E40" s="154"/>
      <c r="F40" s="154"/>
      <c r="G40" s="154"/>
      <c r="H40" s="227">
        <f t="shared" si="2"/>
        <v>0</v>
      </c>
      <c r="I40" s="227">
        <f>IFERROR(SUMIFS(Fichas!$E:$E,Fichas!$B:$B,$A40),0)</f>
        <v>0</v>
      </c>
      <c r="J40" s="226">
        <f t="shared" si="3"/>
        <v>0</v>
      </c>
    </row>
    <row r="41" spans="1:10" ht="15" customHeight="1" x14ac:dyDescent="0.3">
      <c r="A41" s="153"/>
      <c r="B41" s="153"/>
      <c r="C41" s="153"/>
      <c r="D41" s="155"/>
      <c r="E41" s="154"/>
      <c r="F41" s="154"/>
      <c r="G41" s="154"/>
      <c r="H41" s="227">
        <f t="shared" si="2"/>
        <v>0</v>
      </c>
      <c r="I41" s="227">
        <f>IFERROR(SUMIFS(Fichas!$E:$E,Fichas!$B:$B,$A41),0)</f>
        <v>0</v>
      </c>
      <c r="J41" s="226">
        <f t="shared" si="3"/>
        <v>0</v>
      </c>
    </row>
    <row r="42" spans="1:10" ht="15" customHeight="1" x14ac:dyDescent="0.3">
      <c r="A42" s="153"/>
      <c r="B42" s="153"/>
      <c r="C42" s="153"/>
      <c r="D42" s="155"/>
      <c r="E42" s="154"/>
      <c r="F42" s="154"/>
      <c r="G42" s="154"/>
      <c r="H42" s="227">
        <f t="shared" si="2"/>
        <v>0</v>
      </c>
      <c r="I42" s="227">
        <f>IFERROR(SUMIFS(Fichas!$E:$E,Fichas!$B:$B,$A42),0)</f>
        <v>0</v>
      </c>
      <c r="J42" s="226">
        <f t="shared" si="3"/>
        <v>0</v>
      </c>
    </row>
    <row r="43" spans="1:10" ht="15" customHeight="1" x14ac:dyDescent="0.3">
      <c r="A43" s="153"/>
      <c r="B43" s="153"/>
      <c r="C43" s="153"/>
      <c r="D43" s="155"/>
      <c r="E43" s="154"/>
      <c r="F43" s="154"/>
      <c r="G43" s="154"/>
      <c r="H43" s="227">
        <f t="shared" si="2"/>
        <v>0</v>
      </c>
      <c r="I43" s="227">
        <f>IFERROR(SUMIFS(Fichas!$E:$E,Fichas!$B:$B,$A43),0)</f>
        <v>0</v>
      </c>
      <c r="J43" s="226">
        <f t="shared" si="3"/>
        <v>0</v>
      </c>
    </row>
    <row r="44" spans="1:10" ht="15" customHeight="1" x14ac:dyDescent="0.3">
      <c r="A44" s="153"/>
      <c r="B44" s="153"/>
      <c r="C44" s="153"/>
      <c r="D44" s="155"/>
      <c r="E44" s="154"/>
      <c r="F44" s="154"/>
      <c r="G44" s="154"/>
      <c r="H44" s="227">
        <f t="shared" si="2"/>
        <v>0</v>
      </c>
      <c r="I44" s="227">
        <f>IFERROR(SUMIFS(Fichas!$E:$E,Fichas!$B:$B,$A44),0)</f>
        <v>0</v>
      </c>
      <c r="J44" s="226">
        <f t="shared" si="3"/>
        <v>0</v>
      </c>
    </row>
    <row r="45" spans="1:10" ht="15" customHeight="1" x14ac:dyDescent="0.3">
      <c r="A45" s="153"/>
      <c r="B45" s="153"/>
      <c r="C45" s="153"/>
      <c r="D45" s="155"/>
      <c r="E45" s="154"/>
      <c r="F45" s="154"/>
      <c r="G45" s="154"/>
      <c r="H45" s="227">
        <f t="shared" si="2"/>
        <v>0</v>
      </c>
      <c r="I45" s="227">
        <f>IFERROR(SUMIFS(Fichas!$E:$E,Fichas!$B:$B,$A45),0)</f>
        <v>0</v>
      </c>
      <c r="J45" s="226">
        <f t="shared" si="3"/>
        <v>0</v>
      </c>
    </row>
    <row r="46" spans="1:10" ht="15" customHeight="1" x14ac:dyDescent="0.3">
      <c r="A46" s="153"/>
      <c r="B46" s="153"/>
      <c r="C46" s="153"/>
      <c r="D46" s="155"/>
      <c r="E46" s="154"/>
      <c r="F46" s="154"/>
      <c r="G46" s="154"/>
      <c r="H46" s="227">
        <f t="shared" si="2"/>
        <v>0</v>
      </c>
      <c r="I46" s="227">
        <f>IFERROR(SUMIFS(Fichas!$E:$E,Fichas!$B:$B,$A46),0)</f>
        <v>0</v>
      </c>
      <c r="J46" s="226">
        <f t="shared" si="3"/>
        <v>0</v>
      </c>
    </row>
    <row r="47" spans="1:10" ht="15" customHeight="1" x14ac:dyDescent="0.3">
      <c r="A47" s="153"/>
      <c r="B47" s="153"/>
      <c r="C47" s="153"/>
      <c r="D47" s="155"/>
      <c r="E47" s="154"/>
      <c r="F47" s="154"/>
      <c r="G47" s="154"/>
      <c r="H47" s="227">
        <f t="shared" si="2"/>
        <v>0</v>
      </c>
      <c r="I47" s="227">
        <f>IFERROR(SUMIFS(Fichas!$E:$E,Fichas!$B:$B,$A47),0)</f>
        <v>0</v>
      </c>
      <c r="J47" s="226">
        <f t="shared" si="3"/>
        <v>0</v>
      </c>
    </row>
    <row r="48" spans="1:10" ht="15" customHeight="1" x14ac:dyDescent="0.3">
      <c r="A48" s="153"/>
      <c r="B48" s="153"/>
      <c r="C48" s="153"/>
      <c r="D48" s="155"/>
      <c r="E48" s="154"/>
      <c r="F48" s="154"/>
      <c r="G48" s="154"/>
      <c r="H48" s="227">
        <f t="shared" si="2"/>
        <v>0</v>
      </c>
      <c r="I48" s="227">
        <f>IFERROR(SUMIFS(Fichas!$E:$E,Fichas!$B:$B,$A48),0)</f>
        <v>0</v>
      </c>
      <c r="J48" s="226">
        <f t="shared" si="3"/>
        <v>0</v>
      </c>
    </row>
    <row r="49" spans="1:10" ht="15" customHeight="1" x14ac:dyDescent="0.3">
      <c r="A49" s="153"/>
      <c r="B49" s="153"/>
      <c r="C49" s="153"/>
      <c r="D49" s="155"/>
      <c r="E49" s="154"/>
      <c r="F49" s="154"/>
      <c r="G49" s="154"/>
      <c r="H49" s="227">
        <f t="shared" si="2"/>
        <v>0</v>
      </c>
      <c r="I49" s="227">
        <f>IFERROR(SUMIFS(Fichas!$E:$E,Fichas!$B:$B,$A49),0)</f>
        <v>0</v>
      </c>
      <c r="J49" s="226">
        <f t="shared" si="3"/>
        <v>0</v>
      </c>
    </row>
    <row r="50" spans="1:10" ht="15" customHeight="1" x14ac:dyDescent="0.3">
      <c r="A50" s="153"/>
      <c r="B50" s="153"/>
      <c r="C50" s="153"/>
      <c r="D50" s="155"/>
      <c r="E50" s="154"/>
      <c r="F50" s="154"/>
      <c r="G50" s="154"/>
      <c r="H50" s="227">
        <f t="shared" si="2"/>
        <v>0</v>
      </c>
      <c r="I50" s="227">
        <f>IFERROR(SUMIFS(Fichas!$E:$E,Fichas!$B:$B,$A50),0)</f>
        <v>0</v>
      </c>
      <c r="J50" s="226">
        <f t="shared" si="3"/>
        <v>0</v>
      </c>
    </row>
    <row r="51" spans="1:10" ht="15" customHeight="1" x14ac:dyDescent="0.3">
      <c r="A51" s="153"/>
      <c r="B51" s="153"/>
      <c r="C51" s="153"/>
      <c r="D51" s="155"/>
      <c r="E51" s="154"/>
      <c r="F51" s="154"/>
      <c r="G51" s="154"/>
      <c r="H51" s="227">
        <f t="shared" si="2"/>
        <v>0</v>
      </c>
      <c r="I51" s="227">
        <f>IFERROR(SUMIFS(Fichas!$E:$E,Fichas!$B:$B,$A51),0)</f>
        <v>0</v>
      </c>
      <c r="J51" s="226">
        <f t="shared" si="3"/>
        <v>0</v>
      </c>
    </row>
    <row r="52" spans="1:10" ht="15" customHeight="1" x14ac:dyDescent="0.3">
      <c r="A52" s="153"/>
      <c r="B52" s="153"/>
      <c r="C52" s="153"/>
      <c r="D52" s="155"/>
      <c r="E52" s="154"/>
      <c r="F52" s="154"/>
      <c r="G52" s="154"/>
      <c r="H52" s="227">
        <f t="shared" si="2"/>
        <v>0</v>
      </c>
      <c r="I52" s="227">
        <f>IFERROR(SUMIFS(Fichas!$E:$E,Fichas!$B:$B,$A52),0)</f>
        <v>0</v>
      </c>
      <c r="J52" s="226">
        <f t="shared" si="3"/>
        <v>0</v>
      </c>
    </row>
    <row r="53" spans="1:10" ht="15" customHeight="1" x14ac:dyDescent="0.3">
      <c r="A53" s="153"/>
      <c r="B53" s="153"/>
      <c r="C53" s="153"/>
      <c r="D53" s="155"/>
      <c r="E53" s="154"/>
      <c r="F53" s="154"/>
      <c r="G53" s="154"/>
      <c r="H53" s="227">
        <f t="shared" si="2"/>
        <v>0</v>
      </c>
      <c r="I53" s="227">
        <f>IFERROR(SUMIFS(Fichas!$E:$E,Fichas!$B:$B,$A53),0)</f>
        <v>0</v>
      </c>
      <c r="J53" s="226">
        <f t="shared" si="3"/>
        <v>0</v>
      </c>
    </row>
    <row r="54" spans="1:10" ht="15" customHeight="1" x14ac:dyDescent="0.3">
      <c r="A54" s="153"/>
      <c r="B54" s="153"/>
      <c r="C54" s="153"/>
      <c r="D54" s="155"/>
      <c r="E54" s="154"/>
      <c r="F54" s="154"/>
      <c r="G54" s="154"/>
      <c r="H54" s="227">
        <f t="shared" si="2"/>
        <v>0</v>
      </c>
      <c r="I54" s="227">
        <f>IFERROR(SUMIFS(Fichas!$E:$E,Fichas!$B:$B,$A54),0)</f>
        <v>0</v>
      </c>
      <c r="J54" s="226">
        <f t="shared" si="3"/>
        <v>0</v>
      </c>
    </row>
    <row r="55" spans="1:10" ht="15" customHeight="1" x14ac:dyDescent="0.3">
      <c r="A55" s="153"/>
      <c r="B55" s="153"/>
      <c r="C55" s="153"/>
      <c r="D55" s="155"/>
      <c r="E55" s="154"/>
      <c r="F55" s="154"/>
      <c r="G55" s="154"/>
      <c r="H55" s="227">
        <f t="shared" si="2"/>
        <v>0</v>
      </c>
      <c r="I55" s="227">
        <f>IFERROR(SUMIFS(Fichas!$E:$E,Fichas!$B:$B,$A55),0)</f>
        <v>0</v>
      </c>
      <c r="J55" s="226">
        <f t="shared" si="3"/>
        <v>0</v>
      </c>
    </row>
    <row r="56" spans="1:10" ht="15" customHeight="1" x14ac:dyDescent="0.3">
      <c r="A56" s="153"/>
      <c r="B56" s="153"/>
      <c r="C56" s="153"/>
      <c r="D56" s="155"/>
      <c r="E56" s="154"/>
      <c r="F56" s="154"/>
      <c r="G56" s="154"/>
      <c r="H56" s="227">
        <f t="shared" si="2"/>
        <v>0</v>
      </c>
      <c r="I56" s="227">
        <f>IFERROR(SUMIFS(Fichas!$E:$E,Fichas!$B:$B,$A56),0)</f>
        <v>0</v>
      </c>
      <c r="J56" s="226">
        <f t="shared" si="3"/>
        <v>0</v>
      </c>
    </row>
    <row r="57" spans="1:10" ht="15" customHeight="1" x14ac:dyDescent="0.3">
      <c r="A57" s="153"/>
      <c r="B57" s="153"/>
      <c r="C57" s="153"/>
      <c r="D57" s="155"/>
      <c r="E57" s="154"/>
      <c r="F57" s="154"/>
      <c r="G57" s="154"/>
      <c r="H57" s="227">
        <f t="shared" si="2"/>
        <v>0</v>
      </c>
      <c r="I57" s="227">
        <f>IFERROR(SUMIFS(Fichas!$E:$E,Fichas!$B:$B,$A57),0)</f>
        <v>0</v>
      </c>
      <c r="J57" s="226">
        <f t="shared" si="3"/>
        <v>0</v>
      </c>
    </row>
    <row r="58" spans="1:10" ht="15" customHeight="1" x14ac:dyDescent="0.3">
      <c r="A58" s="153"/>
      <c r="B58" s="153"/>
      <c r="C58" s="153"/>
      <c r="D58" s="155"/>
      <c r="E58" s="154"/>
      <c r="F58" s="154"/>
      <c r="G58" s="154"/>
      <c r="H58" s="227">
        <f t="shared" si="2"/>
        <v>0</v>
      </c>
      <c r="I58" s="227">
        <f>IFERROR(SUMIFS(Fichas!$E:$E,Fichas!$B:$B,$A58),0)</f>
        <v>0</v>
      </c>
      <c r="J58" s="226">
        <f t="shared" si="3"/>
        <v>0</v>
      </c>
    </row>
    <row r="59" spans="1:10" ht="15" customHeight="1" x14ac:dyDescent="0.3">
      <c r="A59" s="153"/>
      <c r="B59" s="153"/>
      <c r="C59" s="153"/>
      <c r="D59" s="155"/>
      <c r="E59" s="154"/>
      <c r="F59" s="154"/>
      <c r="G59" s="154"/>
      <c r="H59" s="227">
        <f t="shared" si="2"/>
        <v>0</v>
      </c>
      <c r="I59" s="227">
        <f>IFERROR(SUMIFS(Fichas!$E:$E,Fichas!$B:$B,$A59),0)</f>
        <v>0</v>
      </c>
      <c r="J59" s="226">
        <f t="shared" si="3"/>
        <v>0</v>
      </c>
    </row>
    <row r="60" spans="1:10" ht="15" customHeight="1" x14ac:dyDescent="0.3">
      <c r="A60" s="153"/>
      <c r="B60" s="153"/>
      <c r="C60" s="153"/>
      <c r="D60" s="155"/>
      <c r="E60" s="154"/>
      <c r="F60" s="154"/>
      <c r="G60" s="154"/>
      <c r="H60" s="227">
        <f t="shared" si="2"/>
        <v>0</v>
      </c>
      <c r="I60" s="227">
        <f>IFERROR(SUMIFS(Fichas!$E:$E,Fichas!$B:$B,$A60),0)</f>
        <v>0</v>
      </c>
      <c r="J60" s="226">
        <f t="shared" si="3"/>
        <v>0</v>
      </c>
    </row>
    <row r="61" spans="1:10" ht="15" customHeight="1" x14ac:dyDescent="0.3">
      <c r="A61" s="153"/>
      <c r="B61" s="153"/>
      <c r="C61" s="153"/>
      <c r="D61" s="155"/>
      <c r="E61" s="154"/>
      <c r="F61" s="154"/>
      <c r="G61" s="154"/>
      <c r="H61" s="227">
        <f t="shared" si="2"/>
        <v>0</v>
      </c>
      <c r="I61" s="227">
        <f>IFERROR(SUMIFS(Fichas!$E:$E,Fichas!$B:$B,$A61),0)</f>
        <v>0</v>
      </c>
      <c r="J61" s="226">
        <f t="shared" si="3"/>
        <v>0</v>
      </c>
    </row>
    <row r="62" spans="1:10" ht="15" customHeight="1" x14ac:dyDescent="0.3">
      <c r="A62" s="153"/>
      <c r="B62" s="153"/>
      <c r="C62" s="153"/>
      <c r="D62" s="155"/>
      <c r="E62" s="154"/>
      <c r="F62" s="154"/>
      <c r="G62" s="154"/>
      <c r="H62" s="227">
        <f t="shared" si="2"/>
        <v>0</v>
      </c>
      <c r="I62" s="227">
        <f>IFERROR(SUMIFS(Fichas!$E:$E,Fichas!$B:$B,$A62),0)</f>
        <v>0</v>
      </c>
      <c r="J62" s="226">
        <f t="shared" si="3"/>
        <v>0</v>
      </c>
    </row>
    <row r="63" spans="1:10" ht="15" customHeight="1" x14ac:dyDescent="0.3">
      <c r="A63" s="153"/>
      <c r="B63" s="153"/>
      <c r="C63" s="153"/>
      <c r="D63" s="155"/>
      <c r="E63" s="154"/>
      <c r="F63" s="154"/>
      <c r="G63" s="154"/>
      <c r="H63" s="227">
        <f t="shared" si="2"/>
        <v>0</v>
      </c>
      <c r="I63" s="227">
        <f>IFERROR(SUMIFS(Fichas!$E:$E,Fichas!$B:$B,$A63),0)</f>
        <v>0</v>
      </c>
      <c r="J63" s="226">
        <f t="shared" si="3"/>
        <v>0</v>
      </c>
    </row>
    <row r="64" spans="1:10" ht="15" customHeight="1" x14ac:dyDescent="0.3">
      <c r="A64" s="153"/>
      <c r="B64" s="153"/>
      <c r="C64" s="153"/>
      <c r="D64" s="155"/>
      <c r="E64" s="154"/>
      <c r="F64" s="154"/>
      <c r="G64" s="154"/>
      <c r="H64" s="227">
        <f t="shared" si="2"/>
        <v>0</v>
      </c>
      <c r="I64" s="227">
        <f>IFERROR(SUMIFS(Fichas!$E:$E,Fichas!$B:$B,$A64),0)</f>
        <v>0</v>
      </c>
      <c r="J64" s="226">
        <f t="shared" si="3"/>
        <v>0</v>
      </c>
    </row>
    <row r="65" spans="1:10" ht="15" customHeight="1" x14ac:dyDescent="0.3">
      <c r="C65" s="160" t="s">
        <v>32</v>
      </c>
      <c r="H65" s="228">
        <f>SUM(H5:H64)</f>
        <v>12622</v>
      </c>
      <c r="I65" s="228">
        <f>SUM(I5:I64)</f>
        <v>8048</v>
      </c>
      <c r="J65" s="229">
        <f>SUM(J5:J64)</f>
        <v>236109</v>
      </c>
    </row>
    <row r="67" spans="1:10" ht="15" customHeight="1" x14ac:dyDescent="0.3">
      <c r="A67" s="158"/>
    </row>
  </sheetData>
  <sheetProtection sheet="1" objects="1" scenarios="1" formatCells="0" formatColumns="0" formatRows="0" insertHyperlinks="0" sort="0" autoFilter="0"/>
  <mergeCells count="2">
    <mergeCell ref="A1:J1"/>
    <mergeCell ref="A2:J2"/>
  </mergeCells>
  <pageMargins left="0.75" right="0.75" top="1" bottom="1"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4"/>
  <sheetViews>
    <sheetView zoomScaleNormal="100" workbookViewId="0">
      <pane ySplit="4" topLeftCell="A5" activePane="bottomLeft" state="frozen"/>
      <selection pane="bottomLeft" activeCell="G11" sqref="G11"/>
    </sheetView>
  </sheetViews>
  <sheetFormatPr baseColWidth="10" defaultColWidth="8.6640625" defaultRowHeight="14.4" x14ac:dyDescent="0.3"/>
  <cols>
    <col min="1" max="1" width="16" style="2" customWidth="1"/>
    <col min="2" max="2" width="15" style="2" customWidth="1"/>
    <col min="3" max="4" width="14" style="2" customWidth="1"/>
    <col min="5" max="5" width="15" style="2" customWidth="1"/>
    <col min="6" max="6" width="17" style="2" customWidth="1"/>
    <col min="7" max="7" width="24" style="2" customWidth="1"/>
    <col min="8" max="16384" width="8.6640625" style="2"/>
  </cols>
  <sheetData>
    <row r="1" spans="1:7" ht="27.75" customHeight="1" x14ac:dyDescent="0.3">
      <c r="A1" s="137" t="s">
        <v>209</v>
      </c>
      <c r="B1" s="137"/>
      <c r="C1" s="137"/>
      <c r="D1" s="137"/>
      <c r="E1" s="137"/>
      <c r="F1" s="137"/>
      <c r="G1" s="137"/>
    </row>
    <row r="2" spans="1:7" ht="15" customHeight="1" x14ac:dyDescent="0.3">
      <c r="A2" s="138" t="s">
        <v>327</v>
      </c>
      <c r="B2" s="138"/>
      <c r="C2" s="138"/>
      <c r="D2" s="138"/>
      <c r="E2" s="138"/>
      <c r="F2" s="138"/>
      <c r="G2" s="138"/>
    </row>
    <row r="3" spans="1:7" ht="15" customHeight="1" x14ac:dyDescent="0.3">
      <c r="A3" s="152"/>
    </row>
    <row r="4" spans="1:7" ht="31.5" customHeight="1" x14ac:dyDescent="0.3">
      <c r="A4" s="141" t="s">
        <v>210</v>
      </c>
      <c r="B4" s="141" t="s">
        <v>211</v>
      </c>
      <c r="C4" s="141" t="s">
        <v>212</v>
      </c>
      <c r="D4" s="141" t="s">
        <v>20</v>
      </c>
      <c r="E4" s="141" t="s">
        <v>213</v>
      </c>
      <c r="F4" s="141" t="s">
        <v>214</v>
      </c>
      <c r="G4" s="141" t="s">
        <v>215</v>
      </c>
    </row>
    <row r="5" spans="1:7" ht="15" customHeight="1" x14ac:dyDescent="0.3">
      <c r="A5" s="153" t="s">
        <v>130</v>
      </c>
      <c r="B5" s="153" t="s">
        <v>182</v>
      </c>
      <c r="C5" s="161">
        <v>45</v>
      </c>
      <c r="D5" s="230">
        <f>IFERROR(COUNTIFS(Ventas!$D:$D,$A5),0)</f>
        <v>11</v>
      </c>
      <c r="E5" s="227">
        <f t="shared" ref="E5:E42" si="0">IFERROR(C5*D5,0)</f>
        <v>495</v>
      </c>
      <c r="F5" s="226">
        <f>IFERROR(C5*IFERROR(INDEX(Insumos!$D:$D,MATCH($B5,Insumos!$A:$A,0)),0),0)</f>
        <v>4275</v>
      </c>
      <c r="G5" s="231" t="str">
        <f>IFERROR(INDEX(Insumos!$B:$B,MATCH($B5,Insumos!$A:$A,0)),"")</f>
        <v>Tinte permanente</v>
      </c>
    </row>
    <row r="6" spans="1:7" ht="15" customHeight="1" x14ac:dyDescent="0.3">
      <c r="A6" s="153" t="s">
        <v>130</v>
      </c>
      <c r="B6" s="153" t="s">
        <v>185</v>
      </c>
      <c r="C6" s="161">
        <v>60</v>
      </c>
      <c r="D6" s="230">
        <f>IFERROR(COUNTIFS(Ventas!$D:$D,$A6),0)</f>
        <v>11</v>
      </c>
      <c r="E6" s="227">
        <f t="shared" si="0"/>
        <v>660</v>
      </c>
      <c r="F6" s="226">
        <f>IFERROR(C6*IFERROR(INDEX(Insumos!$D:$D,MATCH($B6,Insumos!$A:$A,0)),0),0)</f>
        <v>1080</v>
      </c>
      <c r="G6" s="231" t="str">
        <f>IFERROR(INDEX(Insumos!$B:$B,MATCH($B6,Insumos!$A:$A,0)),"")</f>
        <v>Agua oxigenada</v>
      </c>
    </row>
    <row r="7" spans="1:7" ht="15" customHeight="1" x14ac:dyDescent="0.3">
      <c r="A7" s="153" t="s">
        <v>133</v>
      </c>
      <c r="B7" s="153" t="s">
        <v>188</v>
      </c>
      <c r="C7" s="161">
        <v>80</v>
      </c>
      <c r="D7" s="230">
        <f>IFERROR(COUNTIFS(Ventas!$D:$D,$A7),0)</f>
        <v>3</v>
      </c>
      <c r="E7" s="227">
        <f t="shared" si="0"/>
        <v>240</v>
      </c>
      <c r="F7" s="226">
        <f>IFERROR(C7*IFERROR(INDEX(Insumos!$D:$D,MATCH($B7,Insumos!$A:$A,0)),0),0)</f>
        <v>9600</v>
      </c>
      <c r="G7" s="231" t="str">
        <f>IFERROR(INDEX(Insumos!$B:$B,MATCH($B7,Insumos!$A:$A,0)),"")</f>
        <v>Decolorante</v>
      </c>
    </row>
    <row r="8" spans="1:7" ht="15" customHeight="1" x14ac:dyDescent="0.3">
      <c r="A8" s="153" t="s">
        <v>133</v>
      </c>
      <c r="B8" s="153" t="s">
        <v>185</v>
      </c>
      <c r="C8" s="161">
        <v>120</v>
      </c>
      <c r="D8" s="230">
        <f>IFERROR(COUNTIFS(Ventas!$D:$D,$A8),0)</f>
        <v>3</v>
      </c>
      <c r="E8" s="227">
        <f t="shared" si="0"/>
        <v>360</v>
      </c>
      <c r="F8" s="226">
        <f>IFERROR(C8*IFERROR(INDEX(Insumos!$D:$D,MATCH($B8,Insumos!$A:$A,0)),0),0)</f>
        <v>2160</v>
      </c>
      <c r="G8" s="231" t="str">
        <f>IFERROR(INDEX(Insumos!$B:$B,MATCH($B8,Insumos!$A:$A,0)),"")</f>
        <v>Agua oxigenada</v>
      </c>
    </row>
    <row r="9" spans="1:7" ht="15" customHeight="1" x14ac:dyDescent="0.3">
      <c r="A9" s="153" t="s">
        <v>135</v>
      </c>
      <c r="B9" s="153" t="s">
        <v>190</v>
      </c>
      <c r="C9" s="161">
        <v>90</v>
      </c>
      <c r="D9" s="230">
        <f>IFERROR(COUNTIFS(Ventas!$D:$D,$A9),0)</f>
        <v>3</v>
      </c>
      <c r="E9" s="227">
        <f t="shared" si="0"/>
        <v>270</v>
      </c>
      <c r="F9" s="226">
        <f>IFERROR(C9*IFERROR(INDEX(Insumos!$D:$D,MATCH($B9,Insumos!$A:$A,0)),0),0)</f>
        <v>18900</v>
      </c>
      <c r="G9" s="231" t="str">
        <f>IFERROR(INDEX(Insumos!$B:$B,MATCH($B9,Insumos!$A:$A,0)),"")</f>
        <v>Keratina</v>
      </c>
    </row>
    <row r="10" spans="1:7" ht="15" customHeight="1" x14ac:dyDescent="0.3">
      <c r="A10" s="153" t="s">
        <v>125</v>
      </c>
      <c r="B10" s="153" t="s">
        <v>191</v>
      </c>
      <c r="C10" s="161">
        <v>30</v>
      </c>
      <c r="D10" s="230">
        <f>IFERROR(COUNTIFS(Ventas!$D:$D,$A10),0)</f>
        <v>62</v>
      </c>
      <c r="E10" s="227">
        <f t="shared" si="0"/>
        <v>1860</v>
      </c>
      <c r="F10" s="226">
        <f>IFERROR(C10*IFERROR(INDEX(Insumos!$D:$D,MATCH($B10,Insumos!$A:$A,0)),0),0)</f>
        <v>660</v>
      </c>
      <c r="G10" s="231" t="str">
        <f>IFERROR(INDEX(Insumos!$B:$B,MATCH($B10,Insumos!$A:$A,0)),"")</f>
        <v>Shampoo profesional</v>
      </c>
    </row>
    <row r="11" spans="1:7" ht="15" customHeight="1" x14ac:dyDescent="0.3">
      <c r="A11" s="153" t="s">
        <v>128</v>
      </c>
      <c r="B11" s="153" t="s">
        <v>191</v>
      </c>
      <c r="C11" s="161">
        <v>20</v>
      </c>
      <c r="D11" s="230">
        <f>IFERROR(COUNTIFS(Ventas!$D:$D,$A11),0)</f>
        <v>28</v>
      </c>
      <c r="E11" s="227">
        <f t="shared" si="0"/>
        <v>560</v>
      </c>
      <c r="F11" s="226">
        <f>IFERROR(C11*IFERROR(INDEX(Insumos!$D:$D,MATCH($B11,Insumos!$A:$A,0)),0),0)</f>
        <v>440</v>
      </c>
      <c r="G11" s="231" t="str">
        <f>IFERROR(INDEX(Insumos!$B:$B,MATCH($B11,Insumos!$A:$A,0)),"")</f>
        <v>Shampoo profesional</v>
      </c>
    </row>
    <row r="12" spans="1:7" ht="15" customHeight="1" x14ac:dyDescent="0.3">
      <c r="A12" s="153" t="s">
        <v>138</v>
      </c>
      <c r="B12" s="153" t="s">
        <v>193</v>
      </c>
      <c r="C12" s="161">
        <v>6</v>
      </c>
      <c r="D12" s="230">
        <f>IFERROR(COUNTIFS(Ventas!$D:$D,$A12),0)</f>
        <v>42</v>
      </c>
      <c r="E12" s="227">
        <f t="shared" si="0"/>
        <v>252</v>
      </c>
      <c r="F12" s="226">
        <f>IFERROR(C12*IFERROR(INDEX(Insumos!$D:$D,MATCH($B12,Insumos!$A:$A,0)),0),0)</f>
        <v>510</v>
      </c>
      <c r="G12" s="231" t="str">
        <f>IFERROR(INDEX(Insumos!$B:$B,MATCH($B12,Insumos!$A:$A,0)),"")</f>
        <v>Esmalte</v>
      </c>
    </row>
    <row r="13" spans="1:7" ht="15" customHeight="1" x14ac:dyDescent="0.3">
      <c r="A13" s="146" t="s">
        <v>153</v>
      </c>
      <c r="B13" s="146" t="s">
        <v>182</v>
      </c>
      <c r="C13" s="147">
        <v>32</v>
      </c>
      <c r="D13" s="230">
        <f>IFERROR(COUNTIFS(Ventas!$D:$D,$A13),0)</f>
        <v>13</v>
      </c>
      <c r="E13" s="227">
        <f t="shared" si="0"/>
        <v>416</v>
      </c>
      <c r="F13" s="226">
        <f>IFERROR(C13*IFERROR(INDEX(Insumos!$D:$D,MATCH($B13,Insumos!$A:$A,0)),0),0)</f>
        <v>3040</v>
      </c>
      <c r="G13" s="231" t="str">
        <f>IFERROR(INDEX(Insumos!$B:$B,MATCH($B13,Insumos!$A:$A,0)),"")</f>
        <v>Tinte permanente</v>
      </c>
    </row>
    <row r="14" spans="1:7" ht="15" customHeight="1" x14ac:dyDescent="0.3">
      <c r="A14" s="146" t="s">
        <v>153</v>
      </c>
      <c r="B14" s="146" t="s">
        <v>197</v>
      </c>
      <c r="C14" s="147">
        <v>42</v>
      </c>
      <c r="D14" s="230">
        <f>IFERROR(COUNTIFS(Ventas!$D:$D,$A14),0)</f>
        <v>13</v>
      </c>
      <c r="E14" s="227">
        <f t="shared" si="0"/>
        <v>546</v>
      </c>
      <c r="F14" s="226">
        <f>IFERROR(C14*IFERROR(INDEX(Insumos!$D:$D,MATCH($B14,Insumos!$A:$A,0)),0),0)</f>
        <v>756</v>
      </c>
      <c r="G14" s="231" t="str">
        <f>IFERROR(INDEX(Insumos!$B:$B,MATCH($B14,Insumos!$A:$A,0)),"")</f>
        <v>Agua oxigenada 20 vol</v>
      </c>
    </row>
    <row r="15" spans="1:7" ht="15" customHeight="1" x14ac:dyDescent="0.3">
      <c r="A15" s="146" t="s">
        <v>155</v>
      </c>
      <c r="B15" s="146" t="s">
        <v>195</v>
      </c>
      <c r="C15" s="147">
        <v>25</v>
      </c>
      <c r="D15" s="230">
        <f>IFERROR(COUNTIFS(Ventas!$D:$D,$A15),0)</f>
        <v>8</v>
      </c>
      <c r="E15" s="227">
        <f t="shared" si="0"/>
        <v>200</v>
      </c>
      <c r="F15" s="226">
        <f>IFERROR(C15*IFERROR(INDEX(Insumos!$D:$D,MATCH($B15,Insumos!$A:$A,0)),0),0)</f>
        <v>3000</v>
      </c>
      <c r="G15" s="231" t="str">
        <f>IFERROR(INDEX(Insumos!$B:$B,MATCH($B15,Insumos!$A:$A,0)),"")</f>
        <v>Decolorante en polvo</v>
      </c>
    </row>
    <row r="16" spans="1:7" ht="15" customHeight="1" x14ac:dyDescent="0.3">
      <c r="A16" s="146" t="s">
        <v>155</v>
      </c>
      <c r="B16" s="146" t="s">
        <v>197</v>
      </c>
      <c r="C16" s="147">
        <v>38</v>
      </c>
      <c r="D16" s="230">
        <f>IFERROR(COUNTIFS(Ventas!$D:$D,$A16),0)</f>
        <v>8</v>
      </c>
      <c r="E16" s="227">
        <f t="shared" si="0"/>
        <v>304</v>
      </c>
      <c r="F16" s="226">
        <f>IFERROR(C16*IFERROR(INDEX(Insumos!$D:$D,MATCH($B16,Insumos!$A:$A,0)),0),0)</f>
        <v>684</v>
      </c>
      <c r="G16" s="231" t="str">
        <f>IFERROR(INDEX(Insumos!$B:$B,MATCH($B16,Insumos!$A:$A,0)),"")</f>
        <v>Agua oxigenada 20 vol</v>
      </c>
    </row>
    <row r="17" spans="1:7" ht="15" customHeight="1" x14ac:dyDescent="0.3">
      <c r="A17" s="146" t="s">
        <v>157</v>
      </c>
      <c r="B17" s="146" t="s">
        <v>201</v>
      </c>
      <c r="C17" s="147">
        <v>40</v>
      </c>
      <c r="D17" s="230">
        <f>IFERROR(COUNTIFS(Ventas!$D:$D,$A17),0)</f>
        <v>11</v>
      </c>
      <c r="E17" s="227">
        <f t="shared" si="0"/>
        <v>440</v>
      </c>
      <c r="F17" s="226">
        <f>IFERROR(C17*IFERROR(INDEX(Insumos!$D:$D,MATCH($B17,Insumos!$A:$A,0)),0),0)</f>
        <v>5600</v>
      </c>
      <c r="G17" s="231" t="str">
        <f>IFERROR(INDEX(Insumos!$B:$B,MATCH($B17,Insumos!$A:$A,0)),"")</f>
        <v>Mascarilla hidratante</v>
      </c>
    </row>
    <row r="18" spans="1:7" ht="15" customHeight="1" x14ac:dyDescent="0.3">
      <c r="A18" s="146" t="s">
        <v>159</v>
      </c>
      <c r="B18" s="146" t="s">
        <v>199</v>
      </c>
      <c r="C18" s="147">
        <v>30</v>
      </c>
      <c r="D18" s="230">
        <f>IFERROR(COUNTIFS(Ventas!$D:$D,$A18),0)</f>
        <v>6</v>
      </c>
      <c r="E18" s="227">
        <f t="shared" si="0"/>
        <v>180</v>
      </c>
      <c r="F18" s="226">
        <f>IFERROR(C18*IFERROR(INDEX(Insumos!$D:$D,MATCH($B18,Insumos!$A:$A,0)),0),0)</f>
        <v>8400</v>
      </c>
      <c r="G18" s="231" t="str">
        <f>IFERROR(INDEX(Insumos!$B:$B,MATCH($B18,Insumos!$A:$A,0)),"")</f>
        <v>Keratina en crema</v>
      </c>
    </row>
    <row r="19" spans="1:7" ht="15" customHeight="1" x14ac:dyDescent="0.3">
      <c r="A19" s="146" t="s">
        <v>159</v>
      </c>
      <c r="B19" s="146" t="s">
        <v>201</v>
      </c>
      <c r="C19" s="147">
        <v>15</v>
      </c>
      <c r="D19" s="230">
        <f>IFERROR(COUNTIFS(Ventas!$D:$D,$A19),0)</f>
        <v>6</v>
      </c>
      <c r="E19" s="227">
        <f t="shared" si="0"/>
        <v>90</v>
      </c>
      <c r="F19" s="226">
        <f>IFERROR(C19*IFERROR(INDEX(Insumos!$D:$D,MATCH($B19,Insumos!$A:$A,0)),0),0)</f>
        <v>2100</v>
      </c>
      <c r="G19" s="231" t="str">
        <f>IFERROR(INDEX(Insumos!$B:$B,MATCH($B19,Insumos!$A:$A,0)),"")</f>
        <v>Mascarilla hidratante</v>
      </c>
    </row>
    <row r="20" spans="1:7" ht="15" customHeight="1" x14ac:dyDescent="0.3">
      <c r="A20" s="146" t="s">
        <v>161</v>
      </c>
      <c r="B20" s="146" t="s">
        <v>203</v>
      </c>
      <c r="C20" s="147">
        <v>8</v>
      </c>
      <c r="D20" s="230">
        <f>IFERROR(COUNTIFS(Ventas!$D:$D,$A20),0)</f>
        <v>21</v>
      </c>
      <c r="E20" s="227">
        <f t="shared" si="0"/>
        <v>168</v>
      </c>
      <c r="F20" s="226">
        <f>IFERROR(C20*IFERROR(INDEX(Insumos!$D:$D,MATCH($B20,Insumos!$A:$A,0)),0),0)</f>
        <v>7600</v>
      </c>
      <c r="G20" s="231" t="str">
        <f>IFERROR(INDEX(Insumos!$B:$B,MATCH($B20,Insumos!$A:$A,0)),"")</f>
        <v>Esmalte semipermanente</v>
      </c>
    </row>
    <row r="21" spans="1:7" ht="15" customHeight="1" x14ac:dyDescent="0.3">
      <c r="A21" s="146" t="s">
        <v>161</v>
      </c>
      <c r="B21" s="146" t="s">
        <v>205</v>
      </c>
      <c r="C21" s="147">
        <v>12</v>
      </c>
      <c r="D21" s="230">
        <f>IFERROR(COUNTIFS(Ventas!$D:$D,$A21),0)</f>
        <v>21</v>
      </c>
      <c r="E21" s="227">
        <f t="shared" si="0"/>
        <v>252</v>
      </c>
      <c r="F21" s="226">
        <f>IFERROR(C21*IFERROR(INDEX(Insumos!$D:$D,MATCH($B21,Insumos!$A:$A,0)),0),0)</f>
        <v>540</v>
      </c>
      <c r="G21" s="231" t="str">
        <f>IFERROR(INDEX(Insumos!$B:$B,MATCH($B21,Insumos!$A:$A,0)),"")</f>
        <v>Removedor de esmalte</v>
      </c>
    </row>
    <row r="22" spans="1:7" ht="15" customHeight="1" x14ac:dyDescent="0.3">
      <c r="A22" s="146" t="s">
        <v>163</v>
      </c>
      <c r="B22" s="146" t="s">
        <v>203</v>
      </c>
      <c r="C22" s="147">
        <v>6</v>
      </c>
      <c r="D22" s="230">
        <f>IFERROR(COUNTIFS(Ventas!$D:$D,$A22),0)</f>
        <v>14</v>
      </c>
      <c r="E22" s="227">
        <f t="shared" si="0"/>
        <v>84</v>
      </c>
      <c r="F22" s="226">
        <f>IFERROR(C22*IFERROR(INDEX(Insumos!$D:$D,MATCH($B22,Insumos!$A:$A,0)),0),0)</f>
        <v>5700</v>
      </c>
      <c r="G22" s="231" t="str">
        <f>IFERROR(INDEX(Insumos!$B:$B,MATCH($B22,Insumos!$A:$A,0)),"")</f>
        <v>Esmalte semipermanente</v>
      </c>
    </row>
    <row r="23" spans="1:7" ht="15" customHeight="1" x14ac:dyDescent="0.3">
      <c r="A23" s="146" t="s">
        <v>163</v>
      </c>
      <c r="B23" s="146" t="s">
        <v>205</v>
      </c>
      <c r="C23" s="147">
        <v>15</v>
      </c>
      <c r="D23" s="230">
        <f>IFERROR(COUNTIFS(Ventas!$D:$D,$A23),0)</f>
        <v>14</v>
      </c>
      <c r="E23" s="227">
        <f t="shared" si="0"/>
        <v>210</v>
      </c>
      <c r="F23" s="226">
        <f>IFERROR(C23*IFERROR(INDEX(Insumos!$D:$D,MATCH($B23,Insumos!$A:$A,0)),0),0)</f>
        <v>675</v>
      </c>
      <c r="G23" s="231" t="str">
        <f>IFERROR(INDEX(Insumos!$B:$B,MATCH($B23,Insumos!$A:$A,0)),"")</f>
        <v>Removedor de esmalte</v>
      </c>
    </row>
    <row r="24" spans="1:7" ht="15" customHeight="1" x14ac:dyDescent="0.3">
      <c r="A24" s="146" t="s">
        <v>165</v>
      </c>
      <c r="B24" s="146" t="s">
        <v>203</v>
      </c>
      <c r="C24" s="147">
        <v>4</v>
      </c>
      <c r="D24" s="230">
        <f>IFERROR(COUNTIFS(Ventas!$D:$D,$A24),0)</f>
        <v>9</v>
      </c>
      <c r="E24" s="227">
        <f t="shared" si="0"/>
        <v>36</v>
      </c>
      <c r="F24" s="226">
        <f>IFERROR(C24*IFERROR(INDEX(Insumos!$D:$D,MATCH($B24,Insumos!$A:$A,0)),0),0)</f>
        <v>3800</v>
      </c>
      <c r="G24" s="231" t="str">
        <f>IFERROR(INDEX(Insumos!$B:$B,MATCH($B24,Insumos!$A:$A,0)),"")</f>
        <v>Esmalte semipermanente</v>
      </c>
    </row>
    <row r="25" spans="1:7" ht="15" customHeight="1" x14ac:dyDescent="0.3">
      <c r="A25" s="146" t="s">
        <v>169</v>
      </c>
      <c r="B25" s="146" t="s">
        <v>207</v>
      </c>
      <c r="C25" s="147">
        <v>25</v>
      </c>
      <c r="D25" s="230">
        <f>IFERROR(COUNTIFS(Ventas!$D:$D,$A25),0)</f>
        <v>17</v>
      </c>
      <c r="E25" s="227">
        <f t="shared" si="0"/>
        <v>425</v>
      </c>
      <c r="F25" s="226">
        <f>IFERROR(C25*IFERROR(INDEX(Insumos!$D:$D,MATCH($B25,Insumos!$A:$A,0)),0),0)</f>
        <v>1625</v>
      </c>
      <c r="G25" s="231" t="str">
        <f>IFERROR(INDEX(Insumos!$B:$B,MATCH($B25,Insumos!$A:$A,0)),"")</f>
        <v>Cera depilatoria</v>
      </c>
    </row>
    <row r="26" spans="1:7" ht="15" customHeight="1" x14ac:dyDescent="0.3">
      <c r="A26" s="153"/>
      <c r="B26" s="153"/>
      <c r="C26" s="161"/>
      <c r="D26" s="230">
        <f>IFERROR(COUNTIFS(Ventas!$D:$D,$A26),0)</f>
        <v>0</v>
      </c>
      <c r="E26" s="227">
        <f t="shared" si="0"/>
        <v>0</v>
      </c>
      <c r="F26" s="226">
        <f>IFERROR(C26*IFERROR(INDEX(Insumos!$D:$D,MATCH($B26,Insumos!$A:$A,0)),0),0)</f>
        <v>0</v>
      </c>
      <c r="G26" s="231" t="str">
        <f>IFERROR(INDEX(Insumos!$B:$B,MATCH($B26,Insumos!$A:$A,0)),"")</f>
        <v/>
      </c>
    </row>
    <row r="27" spans="1:7" ht="15" customHeight="1" x14ac:dyDescent="0.3">
      <c r="A27" s="153"/>
      <c r="B27" s="153"/>
      <c r="C27" s="161"/>
      <c r="D27" s="230">
        <f>IFERROR(COUNTIFS(Ventas!$D:$D,$A27),0)</f>
        <v>0</v>
      </c>
      <c r="E27" s="227">
        <f t="shared" si="0"/>
        <v>0</v>
      </c>
      <c r="F27" s="226">
        <f>IFERROR(C27*IFERROR(INDEX(Insumos!$D:$D,MATCH($B27,Insumos!$A:$A,0)),0),0)</f>
        <v>0</v>
      </c>
      <c r="G27" s="231" t="str">
        <f>IFERROR(INDEX(Insumos!$B:$B,MATCH($B27,Insumos!$A:$A,0)),"")</f>
        <v/>
      </c>
    </row>
    <row r="28" spans="1:7" ht="15" customHeight="1" x14ac:dyDescent="0.3">
      <c r="A28" s="153"/>
      <c r="B28" s="153"/>
      <c r="C28" s="161"/>
      <c r="D28" s="230">
        <f>IFERROR(COUNTIFS(Ventas!$D:$D,$A28),0)</f>
        <v>0</v>
      </c>
      <c r="E28" s="227">
        <f t="shared" si="0"/>
        <v>0</v>
      </c>
      <c r="F28" s="226">
        <f>IFERROR(C28*IFERROR(INDEX(Insumos!$D:$D,MATCH($B28,Insumos!$A:$A,0)),0),0)</f>
        <v>0</v>
      </c>
      <c r="G28" s="231" t="str">
        <f>IFERROR(INDEX(Insumos!$B:$B,MATCH($B28,Insumos!$A:$A,0)),"")</f>
        <v/>
      </c>
    </row>
    <row r="29" spans="1:7" ht="15" customHeight="1" x14ac:dyDescent="0.3">
      <c r="A29" s="153"/>
      <c r="B29" s="153"/>
      <c r="C29" s="161"/>
      <c r="D29" s="230">
        <f>IFERROR(COUNTIFS(Ventas!$D:$D,$A29),0)</f>
        <v>0</v>
      </c>
      <c r="E29" s="227">
        <f t="shared" si="0"/>
        <v>0</v>
      </c>
      <c r="F29" s="226">
        <f>IFERROR(C29*IFERROR(INDEX(Insumos!$D:$D,MATCH($B29,Insumos!$A:$A,0)),0),0)</f>
        <v>0</v>
      </c>
      <c r="G29" s="231" t="str">
        <f>IFERROR(INDEX(Insumos!$B:$B,MATCH($B29,Insumos!$A:$A,0)),"")</f>
        <v/>
      </c>
    </row>
    <row r="30" spans="1:7" ht="15" customHeight="1" x14ac:dyDescent="0.3">
      <c r="A30" s="153"/>
      <c r="B30" s="153"/>
      <c r="C30" s="161"/>
      <c r="D30" s="230">
        <f>IFERROR(COUNTIFS(Ventas!$D:$D,$A30),0)</f>
        <v>0</v>
      </c>
      <c r="E30" s="227">
        <f t="shared" si="0"/>
        <v>0</v>
      </c>
      <c r="F30" s="226">
        <f>IFERROR(C30*IFERROR(INDEX(Insumos!$D:$D,MATCH($B30,Insumos!$A:$A,0)),0),0)</f>
        <v>0</v>
      </c>
      <c r="G30" s="231" t="str">
        <f>IFERROR(INDEX(Insumos!$B:$B,MATCH($B30,Insumos!$A:$A,0)),"")</f>
        <v/>
      </c>
    </row>
    <row r="31" spans="1:7" ht="15" customHeight="1" x14ac:dyDescent="0.3">
      <c r="A31" s="153"/>
      <c r="B31" s="153"/>
      <c r="C31" s="161"/>
      <c r="D31" s="230">
        <f>IFERROR(COUNTIFS(Ventas!$D:$D,$A31),0)</f>
        <v>0</v>
      </c>
      <c r="E31" s="227">
        <f t="shared" si="0"/>
        <v>0</v>
      </c>
      <c r="F31" s="226">
        <f>IFERROR(C31*IFERROR(INDEX(Insumos!$D:$D,MATCH($B31,Insumos!$A:$A,0)),0),0)</f>
        <v>0</v>
      </c>
      <c r="G31" s="231" t="str">
        <f>IFERROR(INDEX(Insumos!$B:$B,MATCH($B31,Insumos!$A:$A,0)),"")</f>
        <v/>
      </c>
    </row>
    <row r="32" spans="1:7" ht="15" customHeight="1" x14ac:dyDescent="0.3">
      <c r="A32" s="153"/>
      <c r="B32" s="153"/>
      <c r="C32" s="161"/>
      <c r="D32" s="230">
        <f>IFERROR(COUNTIFS(Ventas!$D:$D,$A32),0)</f>
        <v>0</v>
      </c>
      <c r="E32" s="227">
        <f t="shared" si="0"/>
        <v>0</v>
      </c>
      <c r="F32" s="226">
        <f>IFERROR(C32*IFERROR(INDEX(Insumos!$D:$D,MATCH($B32,Insumos!$A:$A,0)),0),0)</f>
        <v>0</v>
      </c>
      <c r="G32" s="231" t="str">
        <f>IFERROR(INDEX(Insumos!$B:$B,MATCH($B32,Insumos!$A:$A,0)),"")</f>
        <v/>
      </c>
    </row>
    <row r="33" spans="1:7" ht="15" customHeight="1" x14ac:dyDescent="0.3">
      <c r="A33" s="153"/>
      <c r="B33" s="153"/>
      <c r="C33" s="161"/>
      <c r="D33" s="230">
        <f>IFERROR(COUNTIFS(Ventas!$D:$D,$A33),0)</f>
        <v>0</v>
      </c>
      <c r="E33" s="227">
        <f t="shared" si="0"/>
        <v>0</v>
      </c>
      <c r="F33" s="226">
        <f>IFERROR(C33*IFERROR(INDEX(Insumos!$D:$D,MATCH($B33,Insumos!$A:$A,0)),0),0)</f>
        <v>0</v>
      </c>
      <c r="G33" s="231" t="str">
        <f>IFERROR(INDEX(Insumos!$B:$B,MATCH($B33,Insumos!$A:$A,0)),"")</f>
        <v/>
      </c>
    </row>
    <row r="34" spans="1:7" ht="15" customHeight="1" x14ac:dyDescent="0.3">
      <c r="A34" s="153"/>
      <c r="B34" s="153"/>
      <c r="C34" s="161"/>
      <c r="D34" s="230">
        <f>IFERROR(COUNTIFS(Ventas!$D:$D,$A34),0)</f>
        <v>0</v>
      </c>
      <c r="E34" s="227">
        <f t="shared" si="0"/>
        <v>0</v>
      </c>
      <c r="F34" s="226">
        <f>IFERROR(C34*IFERROR(INDEX(Insumos!$D:$D,MATCH($B34,Insumos!$A:$A,0)),0),0)</f>
        <v>0</v>
      </c>
      <c r="G34" s="231" t="str">
        <f>IFERROR(INDEX(Insumos!$B:$B,MATCH($B34,Insumos!$A:$A,0)),"")</f>
        <v/>
      </c>
    </row>
    <row r="35" spans="1:7" ht="15" customHeight="1" x14ac:dyDescent="0.3">
      <c r="A35" s="153"/>
      <c r="B35" s="153"/>
      <c r="C35" s="161"/>
      <c r="D35" s="230">
        <f>IFERROR(COUNTIFS(Ventas!$D:$D,$A35),0)</f>
        <v>0</v>
      </c>
      <c r="E35" s="227">
        <f t="shared" si="0"/>
        <v>0</v>
      </c>
      <c r="F35" s="226">
        <f>IFERROR(C35*IFERROR(INDEX(Insumos!$D:$D,MATCH($B35,Insumos!$A:$A,0)),0),0)</f>
        <v>0</v>
      </c>
      <c r="G35" s="231" t="str">
        <f>IFERROR(INDEX(Insumos!$B:$B,MATCH($B35,Insumos!$A:$A,0)),"")</f>
        <v/>
      </c>
    </row>
    <row r="36" spans="1:7" ht="15" customHeight="1" x14ac:dyDescent="0.3">
      <c r="A36" s="153"/>
      <c r="B36" s="153"/>
      <c r="C36" s="161"/>
      <c r="D36" s="230">
        <f>IFERROR(COUNTIFS(Ventas!$D:$D,$A36),0)</f>
        <v>0</v>
      </c>
      <c r="E36" s="227">
        <f t="shared" si="0"/>
        <v>0</v>
      </c>
      <c r="F36" s="226">
        <f>IFERROR(C36*IFERROR(INDEX(Insumos!$D:$D,MATCH($B36,Insumos!$A:$A,0)),0),0)</f>
        <v>0</v>
      </c>
      <c r="G36" s="231" t="str">
        <f>IFERROR(INDEX(Insumos!$B:$B,MATCH($B36,Insumos!$A:$A,0)),"")</f>
        <v/>
      </c>
    </row>
    <row r="37" spans="1:7" ht="15" customHeight="1" x14ac:dyDescent="0.3">
      <c r="A37" s="153"/>
      <c r="B37" s="153"/>
      <c r="C37" s="161"/>
      <c r="D37" s="230">
        <f>IFERROR(COUNTIFS(Ventas!$D:$D,$A37),0)</f>
        <v>0</v>
      </c>
      <c r="E37" s="227">
        <f t="shared" si="0"/>
        <v>0</v>
      </c>
      <c r="F37" s="226">
        <f>IFERROR(C37*IFERROR(INDEX(Insumos!$D:$D,MATCH($B37,Insumos!$A:$A,0)),0),0)</f>
        <v>0</v>
      </c>
      <c r="G37" s="231" t="str">
        <f>IFERROR(INDEX(Insumos!$B:$B,MATCH($B37,Insumos!$A:$A,0)),"")</f>
        <v/>
      </c>
    </row>
    <row r="38" spans="1:7" ht="15" customHeight="1" x14ac:dyDescent="0.3">
      <c r="A38" s="153"/>
      <c r="B38" s="153"/>
      <c r="C38" s="161"/>
      <c r="D38" s="230">
        <f>IFERROR(COUNTIFS(Ventas!$D:$D,$A38),0)</f>
        <v>0</v>
      </c>
      <c r="E38" s="227">
        <f t="shared" si="0"/>
        <v>0</v>
      </c>
      <c r="F38" s="226">
        <f>IFERROR(C38*IFERROR(INDEX(Insumos!$D:$D,MATCH($B38,Insumos!$A:$A,0)),0),0)</f>
        <v>0</v>
      </c>
      <c r="G38" s="231" t="str">
        <f>IFERROR(INDEX(Insumos!$B:$B,MATCH($B38,Insumos!$A:$A,0)),"")</f>
        <v/>
      </c>
    </row>
    <row r="39" spans="1:7" ht="15" customHeight="1" x14ac:dyDescent="0.3">
      <c r="A39" s="153"/>
      <c r="B39" s="153"/>
      <c r="C39" s="161"/>
      <c r="D39" s="230">
        <f>IFERROR(COUNTIFS(Ventas!$D:$D,$A39),0)</f>
        <v>0</v>
      </c>
      <c r="E39" s="227">
        <f t="shared" si="0"/>
        <v>0</v>
      </c>
      <c r="F39" s="226">
        <f>IFERROR(C39*IFERROR(INDEX(Insumos!$D:$D,MATCH($B39,Insumos!$A:$A,0)),0),0)</f>
        <v>0</v>
      </c>
      <c r="G39" s="231" t="str">
        <f>IFERROR(INDEX(Insumos!$B:$B,MATCH($B39,Insumos!$A:$A,0)),"")</f>
        <v/>
      </c>
    </row>
    <row r="40" spans="1:7" ht="15" customHeight="1" x14ac:dyDescent="0.3">
      <c r="A40" s="153"/>
      <c r="B40" s="153"/>
      <c r="C40" s="161"/>
      <c r="D40" s="230">
        <f>IFERROR(COUNTIFS(Ventas!$D:$D,$A40),0)</f>
        <v>0</v>
      </c>
      <c r="E40" s="227">
        <f t="shared" si="0"/>
        <v>0</v>
      </c>
      <c r="F40" s="226">
        <f>IFERROR(C40*IFERROR(INDEX(Insumos!$D:$D,MATCH($B40,Insumos!$A:$A,0)),0),0)</f>
        <v>0</v>
      </c>
      <c r="G40" s="231" t="str">
        <f>IFERROR(INDEX(Insumos!$B:$B,MATCH($B40,Insumos!$A:$A,0)),"")</f>
        <v/>
      </c>
    </row>
    <row r="41" spans="1:7" ht="15" customHeight="1" x14ac:dyDescent="0.3">
      <c r="A41" s="153"/>
      <c r="B41" s="153"/>
      <c r="C41" s="161"/>
      <c r="D41" s="230">
        <f>IFERROR(COUNTIFS(Ventas!$D:$D,$A41),0)</f>
        <v>0</v>
      </c>
      <c r="E41" s="227">
        <f t="shared" si="0"/>
        <v>0</v>
      </c>
      <c r="F41" s="226">
        <f>IFERROR(C41*IFERROR(INDEX(Insumos!$D:$D,MATCH($B41,Insumos!$A:$A,0)),0),0)</f>
        <v>0</v>
      </c>
      <c r="G41" s="231" t="str">
        <f>IFERROR(INDEX(Insumos!$B:$B,MATCH($B41,Insumos!$A:$A,0)),"")</f>
        <v/>
      </c>
    </row>
    <row r="42" spans="1:7" ht="15" customHeight="1" x14ac:dyDescent="0.3">
      <c r="A42" s="153"/>
      <c r="B42" s="153"/>
      <c r="C42" s="161"/>
      <c r="D42" s="230">
        <f>IFERROR(COUNTIFS(Ventas!$D:$D,$A42),0)</f>
        <v>0</v>
      </c>
      <c r="E42" s="227">
        <f t="shared" si="0"/>
        <v>0</v>
      </c>
      <c r="F42" s="226">
        <f>IFERROR(C42*IFERROR(INDEX(Insumos!$D:$D,MATCH($B42,Insumos!$A:$A,0)),0),0)</f>
        <v>0</v>
      </c>
      <c r="G42" s="231" t="str">
        <f>IFERROR(INDEX(Insumos!$B:$B,MATCH($B42,Insumos!$A:$A,0)),"")</f>
        <v/>
      </c>
    </row>
    <row r="44" spans="1:7" ht="15" customHeight="1" x14ac:dyDescent="0.3">
      <c r="A44" s="158"/>
    </row>
  </sheetData>
  <sheetProtection sheet="1" objects="1" scenarios="1" formatCells="0" formatColumns="0" formatRows="0" insertHyperlinks="0" sort="0" autoFilter="0"/>
  <mergeCells count="2">
    <mergeCell ref="A2:G2"/>
    <mergeCell ref="A1:G1"/>
  </mergeCells>
  <pageMargins left="0.75" right="0.75" top="1" bottom="1"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25"/>
  <sheetViews>
    <sheetView zoomScaleNormal="100" workbookViewId="0">
      <pane ySplit="4" topLeftCell="A5" activePane="bottomLeft" state="frozen"/>
      <selection pane="bottomLeft" activeCell="M6" sqref="M6"/>
    </sheetView>
  </sheetViews>
  <sheetFormatPr baseColWidth="10" defaultColWidth="8.6640625" defaultRowHeight="14.4" x14ac:dyDescent="0.3"/>
  <cols>
    <col min="1" max="3" width="11" style="2" customWidth="1"/>
    <col min="4" max="4" width="14" style="2" customWidth="1"/>
    <col min="5" max="5" width="24" style="2" customWidth="1"/>
    <col min="6" max="6" width="20" style="2" customWidth="1"/>
    <col min="7" max="7" width="12" style="2" customWidth="1"/>
    <col min="8" max="8" width="11" style="2" customWidth="1"/>
    <col min="9" max="9" width="13" style="2" customWidth="1"/>
    <col min="10" max="10" width="10" style="2" customWidth="1"/>
    <col min="11" max="11" width="13" style="2" customWidth="1"/>
    <col min="12" max="12" width="12" style="2" customWidth="1"/>
    <col min="13" max="13" width="13" style="2" customWidth="1"/>
    <col min="14" max="16384" width="8.6640625" style="2"/>
  </cols>
  <sheetData>
    <row r="1" spans="1:13" ht="27.75" customHeight="1" x14ac:dyDescent="0.3">
      <c r="A1" s="151" t="s">
        <v>216</v>
      </c>
      <c r="B1" s="4"/>
      <c r="C1" s="4"/>
      <c r="D1" s="4"/>
      <c r="E1" s="4"/>
      <c r="F1" s="4"/>
      <c r="G1" s="4"/>
      <c r="H1" s="4"/>
      <c r="I1" s="4"/>
      <c r="J1" s="4"/>
      <c r="K1" s="4"/>
      <c r="L1" s="4"/>
      <c r="M1" s="4"/>
    </row>
    <row r="2" spans="1:13" ht="15" customHeight="1" x14ac:dyDescent="0.3">
      <c r="A2" s="162" t="s">
        <v>326</v>
      </c>
      <c r="B2" s="163"/>
      <c r="C2" s="163"/>
      <c r="D2" s="163"/>
      <c r="E2" s="163"/>
      <c r="F2" s="163"/>
      <c r="G2" s="163"/>
      <c r="H2" s="163"/>
      <c r="I2" s="163"/>
      <c r="J2" s="163"/>
      <c r="K2" s="163"/>
      <c r="L2" s="163"/>
      <c r="M2" s="163"/>
    </row>
    <row r="3" spans="1:13" ht="15" customHeight="1" x14ac:dyDescent="0.3">
      <c r="A3" s="152"/>
    </row>
    <row r="4" spans="1:13" ht="31.5" customHeight="1" x14ac:dyDescent="0.3">
      <c r="A4" s="141" t="s">
        <v>217</v>
      </c>
      <c r="B4" s="141" t="s">
        <v>36</v>
      </c>
      <c r="C4" s="141" t="s">
        <v>52</v>
      </c>
      <c r="D4" s="141" t="s">
        <v>210</v>
      </c>
      <c r="E4" s="141" t="s">
        <v>218</v>
      </c>
      <c r="F4" s="141" t="s">
        <v>219</v>
      </c>
      <c r="G4" s="141" t="s">
        <v>39</v>
      </c>
      <c r="H4" s="141" t="s">
        <v>220</v>
      </c>
      <c r="I4" s="141" t="s">
        <v>221</v>
      </c>
      <c r="J4" s="141" t="s">
        <v>222</v>
      </c>
      <c r="K4" s="141" t="s">
        <v>29</v>
      </c>
      <c r="L4" s="141" t="s">
        <v>124</v>
      </c>
      <c r="M4" s="141" t="s">
        <v>30</v>
      </c>
    </row>
    <row r="5" spans="1:13" ht="15" customHeight="1" x14ac:dyDescent="0.3">
      <c r="A5" s="164">
        <v>46204</v>
      </c>
      <c r="B5" s="231" t="str">
        <f t="shared" ref="B5:B68" si="0">IF($A5="","",CHOOSE(WEEKDAY($A5,2),"lun","mar","mié","jue","vie","sáb","dom"))</f>
        <v>mié</v>
      </c>
      <c r="C5" s="146" t="s">
        <v>113</v>
      </c>
      <c r="D5" s="146" t="s">
        <v>146</v>
      </c>
      <c r="E5" s="231" t="str">
        <f>IFERROR(INDEX(Servicios!$B:$B,MATCH($D5,Servicios!$A:$A,0)),"")</f>
        <v>Corte niño</v>
      </c>
      <c r="F5" s="146" t="s">
        <v>223</v>
      </c>
      <c r="G5" s="146" t="s">
        <v>45</v>
      </c>
      <c r="H5" s="230">
        <f>IFERROR(INDEX(Servicios!$D:$D,MATCH($D5,Servicios!$A:$A,0)),0)</f>
        <v>25</v>
      </c>
      <c r="I5" s="226">
        <f>IFERROR(INDEX(Servicios!$E:$E,MATCH($D5,Servicios!$A:$A,0)),0)</f>
        <v>22000</v>
      </c>
      <c r="J5" s="156"/>
      <c r="K5" s="226">
        <f t="shared" ref="K5:K68" si="1">IFERROR(I5*(1-N(J5)),0)</f>
        <v>22000</v>
      </c>
      <c r="L5" s="226">
        <f>IFERROR(K5*IFERROR(INDEX(Servicios!$G:$G,MATCH($D5,Servicios!$A:$A,0)),0),0)</f>
        <v>6160.0000000000009</v>
      </c>
      <c r="M5" s="226">
        <f>IFERROR(K5-L5-IFERROR(INDEX(Servicios!$F:$F,MATCH($D5,Servicios!$A:$A,0)),0),0)</f>
        <v>15840</v>
      </c>
    </row>
    <row r="6" spans="1:13" ht="15" customHeight="1" x14ac:dyDescent="0.3">
      <c r="A6" s="164">
        <v>46204</v>
      </c>
      <c r="B6" s="231" t="str">
        <f t="shared" si="0"/>
        <v>mié</v>
      </c>
      <c r="C6" s="146" t="s">
        <v>116</v>
      </c>
      <c r="D6" s="146" t="s">
        <v>161</v>
      </c>
      <c r="E6" s="231" t="str">
        <f>IFERROR(INDEX(Servicios!$B:$B,MATCH($D6,Servicios!$A:$A,0)),"")</f>
        <v>Manicure semipermanente</v>
      </c>
      <c r="F6" s="146" t="s">
        <v>224</v>
      </c>
      <c r="G6" s="146" t="s">
        <v>41</v>
      </c>
      <c r="H6" s="230">
        <f>IFERROR(INDEX(Servicios!$D:$D,MATCH($D6,Servicios!$A:$A,0)),0)</f>
        <v>60</v>
      </c>
      <c r="I6" s="226">
        <f>IFERROR(INDEX(Servicios!$E:$E,MATCH($D6,Servicios!$A:$A,0)),0)</f>
        <v>55000</v>
      </c>
      <c r="J6" s="156"/>
      <c r="K6" s="226">
        <f t="shared" si="1"/>
        <v>55000</v>
      </c>
      <c r="L6" s="226">
        <f>IFERROR(K6*IFERROR(INDEX(Servicios!$G:$G,MATCH($D6,Servicios!$A:$A,0)),0),0)</f>
        <v>15400.000000000002</v>
      </c>
      <c r="M6" s="226">
        <f>IFERROR(K6-L6-IFERROR(INDEX(Servicios!$F:$F,MATCH($D6,Servicios!$A:$A,0)),0),0)</f>
        <v>31460</v>
      </c>
    </row>
    <row r="7" spans="1:13" ht="15" customHeight="1" x14ac:dyDescent="0.3">
      <c r="A7" s="164">
        <v>46204</v>
      </c>
      <c r="B7" s="231" t="str">
        <f t="shared" si="0"/>
        <v>mié</v>
      </c>
      <c r="C7" s="146" t="s">
        <v>116</v>
      </c>
      <c r="D7" s="146" t="s">
        <v>161</v>
      </c>
      <c r="E7" s="231" t="str">
        <f>IFERROR(INDEX(Servicios!$B:$B,MATCH($D7,Servicios!$A:$A,0)),"")</f>
        <v>Manicure semipermanente</v>
      </c>
      <c r="F7" s="146" t="s">
        <v>225</v>
      </c>
      <c r="G7" s="146" t="s">
        <v>41</v>
      </c>
      <c r="H7" s="230">
        <f>IFERROR(INDEX(Servicios!$D:$D,MATCH($D7,Servicios!$A:$A,0)),0)</f>
        <v>60</v>
      </c>
      <c r="I7" s="226">
        <f>IFERROR(INDEX(Servicios!$E:$E,MATCH($D7,Servicios!$A:$A,0)),0)</f>
        <v>55000</v>
      </c>
      <c r="J7" s="156"/>
      <c r="K7" s="226">
        <f t="shared" si="1"/>
        <v>55000</v>
      </c>
      <c r="L7" s="226">
        <f>IFERROR(K7*IFERROR(INDEX(Servicios!$G:$G,MATCH($D7,Servicios!$A:$A,0)),0),0)</f>
        <v>15400.000000000002</v>
      </c>
      <c r="M7" s="226">
        <f>IFERROR(K7-L7-IFERROR(INDEX(Servicios!$F:$F,MATCH($D7,Servicios!$A:$A,0)),0),0)</f>
        <v>31460</v>
      </c>
    </row>
    <row r="8" spans="1:13" ht="15" customHeight="1" x14ac:dyDescent="0.3">
      <c r="A8" s="164">
        <v>46205</v>
      </c>
      <c r="B8" s="231" t="str">
        <f t="shared" si="0"/>
        <v>jue</v>
      </c>
      <c r="C8" s="146" t="s">
        <v>113</v>
      </c>
      <c r="D8" s="146" t="s">
        <v>148</v>
      </c>
      <c r="E8" s="231" t="str">
        <f>IFERROR(INDEX(Servicios!$B:$B,MATCH($D8,Servicios!$A:$A,0)),"")</f>
        <v>Barba y perfilado</v>
      </c>
      <c r="F8" s="146" t="s">
        <v>226</v>
      </c>
      <c r="G8" s="146" t="s">
        <v>41</v>
      </c>
      <c r="H8" s="230">
        <f>IFERROR(INDEX(Servicios!$D:$D,MATCH($D8,Servicios!$A:$A,0)),0)</f>
        <v>25</v>
      </c>
      <c r="I8" s="226">
        <f>IFERROR(INDEX(Servicios!$E:$E,MATCH($D8,Servicios!$A:$A,0)),0)</f>
        <v>20000</v>
      </c>
      <c r="J8" s="148">
        <v>0.1</v>
      </c>
      <c r="K8" s="226">
        <f t="shared" si="1"/>
        <v>18000</v>
      </c>
      <c r="L8" s="226">
        <f>IFERROR(K8*IFERROR(INDEX(Servicios!$G:$G,MATCH($D8,Servicios!$A:$A,0)),0),0)</f>
        <v>5760</v>
      </c>
      <c r="M8" s="226">
        <f>IFERROR(K8-L8-IFERROR(INDEX(Servicios!$F:$F,MATCH($D8,Servicios!$A:$A,0)),0),0)</f>
        <v>12240</v>
      </c>
    </row>
    <row r="9" spans="1:13" ht="15" customHeight="1" x14ac:dyDescent="0.3">
      <c r="A9" s="164">
        <v>46205</v>
      </c>
      <c r="B9" s="231" t="str">
        <f t="shared" si="0"/>
        <v>jue</v>
      </c>
      <c r="C9" s="146" t="s">
        <v>110</v>
      </c>
      <c r="D9" s="146" t="s">
        <v>153</v>
      </c>
      <c r="E9" s="231" t="str">
        <f>IFERROR(INDEX(Servicios!$B:$B,MATCH($D9,Servicios!$A:$A,0)),"")</f>
        <v>Retoque de color</v>
      </c>
      <c r="F9" s="146" t="s">
        <v>227</v>
      </c>
      <c r="G9" s="146" t="s">
        <v>41</v>
      </c>
      <c r="H9" s="230">
        <f>IFERROR(INDEX(Servicios!$D:$D,MATCH($D9,Servicios!$A:$A,0)),0)</f>
        <v>60</v>
      </c>
      <c r="I9" s="226">
        <f>IFERROR(INDEX(Servicios!$E:$E,MATCH($D9,Servicios!$A:$A,0)),0)</f>
        <v>75000</v>
      </c>
      <c r="J9" s="156"/>
      <c r="K9" s="226">
        <f t="shared" si="1"/>
        <v>75000</v>
      </c>
      <c r="L9" s="226">
        <f>IFERROR(K9*IFERROR(INDEX(Servicios!$G:$G,MATCH($D9,Servicios!$A:$A,0)),0),0)</f>
        <v>24750</v>
      </c>
      <c r="M9" s="226">
        <f>IFERROR(K9-L9-IFERROR(INDEX(Servicios!$F:$F,MATCH($D9,Servicios!$A:$A,0)),0),0)</f>
        <v>46454</v>
      </c>
    </row>
    <row r="10" spans="1:13" ht="15" customHeight="1" x14ac:dyDescent="0.3">
      <c r="A10" s="164">
        <v>46205</v>
      </c>
      <c r="B10" s="231" t="str">
        <f t="shared" si="0"/>
        <v>jue</v>
      </c>
      <c r="C10" s="146" t="s">
        <v>116</v>
      </c>
      <c r="D10" s="146" t="s">
        <v>161</v>
      </c>
      <c r="E10" s="231" t="str">
        <f>IFERROR(INDEX(Servicios!$B:$B,MATCH($D10,Servicios!$A:$A,0)),"")</f>
        <v>Manicure semipermanente</v>
      </c>
      <c r="F10" s="146" t="s">
        <v>228</v>
      </c>
      <c r="G10" s="146" t="s">
        <v>41</v>
      </c>
      <c r="H10" s="230">
        <f>IFERROR(INDEX(Servicios!$D:$D,MATCH($D10,Servicios!$A:$A,0)),0)</f>
        <v>60</v>
      </c>
      <c r="I10" s="226">
        <f>IFERROR(INDEX(Servicios!$E:$E,MATCH($D10,Servicios!$A:$A,0)),0)</f>
        <v>55000</v>
      </c>
      <c r="J10" s="148">
        <v>0.15</v>
      </c>
      <c r="K10" s="226">
        <f t="shared" si="1"/>
        <v>46750</v>
      </c>
      <c r="L10" s="226">
        <f>IFERROR(K10*IFERROR(INDEX(Servicios!$G:$G,MATCH($D10,Servicios!$A:$A,0)),0),0)</f>
        <v>13090.000000000002</v>
      </c>
      <c r="M10" s="226">
        <f>IFERROR(K10-L10-IFERROR(INDEX(Servicios!$F:$F,MATCH($D10,Servicios!$A:$A,0)),0),0)</f>
        <v>25520</v>
      </c>
    </row>
    <row r="11" spans="1:13" ht="15" customHeight="1" x14ac:dyDescent="0.3">
      <c r="A11" s="164">
        <v>46205</v>
      </c>
      <c r="B11" s="231" t="str">
        <f t="shared" si="0"/>
        <v>jue</v>
      </c>
      <c r="C11" s="146" t="s">
        <v>116</v>
      </c>
      <c r="D11" s="146" t="s">
        <v>161</v>
      </c>
      <c r="E11" s="231" t="str">
        <f>IFERROR(INDEX(Servicios!$B:$B,MATCH($D11,Servicios!$A:$A,0)),"")</f>
        <v>Manicure semipermanente</v>
      </c>
      <c r="F11" s="146" t="s">
        <v>229</v>
      </c>
      <c r="G11" s="146" t="s">
        <v>43</v>
      </c>
      <c r="H11" s="230">
        <f>IFERROR(INDEX(Servicios!$D:$D,MATCH($D11,Servicios!$A:$A,0)),0)</f>
        <v>60</v>
      </c>
      <c r="I11" s="226">
        <f>IFERROR(INDEX(Servicios!$E:$E,MATCH($D11,Servicios!$A:$A,0)),0)</f>
        <v>55000</v>
      </c>
      <c r="J11" s="156"/>
      <c r="K11" s="226">
        <f t="shared" si="1"/>
        <v>55000</v>
      </c>
      <c r="L11" s="226">
        <f>IFERROR(K11*IFERROR(INDEX(Servicios!$G:$G,MATCH($D11,Servicios!$A:$A,0)),0),0)</f>
        <v>15400.000000000002</v>
      </c>
      <c r="M11" s="226">
        <f>IFERROR(K11-L11-IFERROR(INDEX(Servicios!$F:$F,MATCH($D11,Servicios!$A:$A,0)),0),0)</f>
        <v>31460</v>
      </c>
    </row>
    <row r="12" spans="1:13" ht="15" customHeight="1" x14ac:dyDescent="0.3">
      <c r="A12" s="164">
        <v>46205</v>
      </c>
      <c r="B12" s="231" t="str">
        <f t="shared" si="0"/>
        <v>jue</v>
      </c>
      <c r="C12" s="146" t="s">
        <v>116</v>
      </c>
      <c r="D12" s="146" t="s">
        <v>161</v>
      </c>
      <c r="E12" s="231" t="str">
        <f>IFERROR(INDEX(Servicios!$B:$B,MATCH($D12,Servicios!$A:$A,0)),"")</f>
        <v>Manicure semipermanente</v>
      </c>
      <c r="F12" s="146" t="s">
        <v>230</v>
      </c>
      <c r="G12" s="146" t="s">
        <v>43</v>
      </c>
      <c r="H12" s="230">
        <f>IFERROR(INDEX(Servicios!$D:$D,MATCH($D12,Servicios!$A:$A,0)),0)</f>
        <v>60</v>
      </c>
      <c r="I12" s="226">
        <f>IFERROR(INDEX(Servicios!$E:$E,MATCH($D12,Servicios!$A:$A,0)),0)</f>
        <v>55000</v>
      </c>
      <c r="J12" s="156"/>
      <c r="K12" s="226">
        <f t="shared" si="1"/>
        <v>55000</v>
      </c>
      <c r="L12" s="226">
        <f>IFERROR(K12*IFERROR(INDEX(Servicios!$G:$G,MATCH($D12,Servicios!$A:$A,0)),0),0)</f>
        <v>15400.000000000002</v>
      </c>
      <c r="M12" s="226">
        <f>IFERROR(K12-L12-IFERROR(INDEX(Servicios!$F:$F,MATCH($D12,Servicios!$A:$A,0)),0),0)</f>
        <v>31460</v>
      </c>
    </row>
    <row r="13" spans="1:13" ht="15" customHeight="1" x14ac:dyDescent="0.3">
      <c r="A13" s="164">
        <v>46206</v>
      </c>
      <c r="B13" s="231" t="str">
        <f t="shared" si="0"/>
        <v>vie</v>
      </c>
      <c r="C13" s="146" t="s">
        <v>113</v>
      </c>
      <c r="D13" s="146" t="s">
        <v>148</v>
      </c>
      <c r="E13" s="231" t="str">
        <f>IFERROR(INDEX(Servicios!$B:$B,MATCH($D13,Servicios!$A:$A,0)),"")</f>
        <v>Barba y perfilado</v>
      </c>
      <c r="F13" s="146" t="s">
        <v>231</v>
      </c>
      <c r="G13" s="146" t="s">
        <v>41</v>
      </c>
      <c r="H13" s="230">
        <f>IFERROR(INDEX(Servicios!$D:$D,MATCH($D13,Servicios!$A:$A,0)),0)</f>
        <v>25</v>
      </c>
      <c r="I13" s="226">
        <f>IFERROR(INDEX(Servicios!$E:$E,MATCH($D13,Servicios!$A:$A,0)),0)</f>
        <v>20000</v>
      </c>
      <c r="J13" s="156"/>
      <c r="K13" s="226">
        <f t="shared" si="1"/>
        <v>20000</v>
      </c>
      <c r="L13" s="226">
        <f>IFERROR(K13*IFERROR(INDEX(Servicios!$G:$G,MATCH($D13,Servicios!$A:$A,0)),0),0)</f>
        <v>6400</v>
      </c>
      <c r="M13" s="226">
        <f>IFERROR(K13-L13-IFERROR(INDEX(Servicios!$F:$F,MATCH($D13,Servicios!$A:$A,0)),0),0)</f>
        <v>13600</v>
      </c>
    </row>
    <row r="14" spans="1:13" ht="15" customHeight="1" x14ac:dyDescent="0.3">
      <c r="A14" s="164">
        <v>46206</v>
      </c>
      <c r="B14" s="231" t="str">
        <f t="shared" si="0"/>
        <v>vie</v>
      </c>
      <c r="C14" s="146" t="s">
        <v>113</v>
      </c>
      <c r="D14" s="146" t="s">
        <v>148</v>
      </c>
      <c r="E14" s="231" t="str">
        <f>IFERROR(INDEX(Servicios!$B:$B,MATCH($D14,Servicios!$A:$A,0)),"")</f>
        <v>Barba y perfilado</v>
      </c>
      <c r="F14" s="146" t="s">
        <v>232</v>
      </c>
      <c r="G14" s="146" t="s">
        <v>43</v>
      </c>
      <c r="H14" s="230">
        <f>IFERROR(INDEX(Servicios!$D:$D,MATCH($D14,Servicios!$A:$A,0)),0)</f>
        <v>25</v>
      </c>
      <c r="I14" s="226">
        <f>IFERROR(INDEX(Servicios!$E:$E,MATCH($D14,Servicios!$A:$A,0)),0)</f>
        <v>20000</v>
      </c>
      <c r="J14" s="156"/>
      <c r="K14" s="226">
        <f t="shared" si="1"/>
        <v>20000</v>
      </c>
      <c r="L14" s="226">
        <f>IFERROR(K14*IFERROR(INDEX(Servicios!$G:$G,MATCH($D14,Servicios!$A:$A,0)),0),0)</f>
        <v>6400</v>
      </c>
      <c r="M14" s="226">
        <f>IFERROR(K14-L14-IFERROR(INDEX(Servicios!$F:$F,MATCH($D14,Servicios!$A:$A,0)),0),0)</f>
        <v>13600</v>
      </c>
    </row>
    <row r="15" spans="1:13" ht="15" customHeight="1" x14ac:dyDescent="0.3">
      <c r="A15" s="164">
        <v>46206</v>
      </c>
      <c r="B15" s="231" t="str">
        <f t="shared" si="0"/>
        <v>vie</v>
      </c>
      <c r="C15" s="146" t="s">
        <v>98</v>
      </c>
      <c r="D15" s="146" t="s">
        <v>167</v>
      </c>
      <c r="E15" s="231" t="str">
        <f>IFERROR(INDEX(Servicios!$B:$B,MATCH($D15,Servicios!$A:$A,0)),"")</f>
        <v>Peinado para evento</v>
      </c>
      <c r="F15" s="146" t="s">
        <v>233</v>
      </c>
      <c r="G15" s="146" t="s">
        <v>41</v>
      </c>
      <c r="H15" s="230">
        <f>IFERROR(INDEX(Servicios!$D:$D,MATCH($D15,Servicios!$A:$A,0)),0)</f>
        <v>60</v>
      </c>
      <c r="I15" s="226">
        <f>IFERROR(INDEX(Servicios!$E:$E,MATCH($D15,Servicios!$A:$A,0)),0)</f>
        <v>85000</v>
      </c>
      <c r="J15" s="156"/>
      <c r="K15" s="226">
        <f t="shared" si="1"/>
        <v>85000</v>
      </c>
      <c r="L15" s="226">
        <f>IFERROR(K15*IFERROR(INDEX(Servicios!$G:$G,MATCH($D15,Servicios!$A:$A,0)),0),0)</f>
        <v>27200</v>
      </c>
      <c r="M15" s="226">
        <f>IFERROR(K15-L15-IFERROR(INDEX(Servicios!$F:$F,MATCH($D15,Servicios!$A:$A,0)),0),0)</f>
        <v>57800</v>
      </c>
    </row>
    <row r="16" spans="1:13" ht="15" customHeight="1" x14ac:dyDescent="0.3">
      <c r="A16" s="164">
        <v>46207</v>
      </c>
      <c r="B16" s="231" t="str">
        <f t="shared" si="0"/>
        <v>sáb</v>
      </c>
      <c r="C16" s="146" t="s">
        <v>116</v>
      </c>
      <c r="D16" s="146" t="s">
        <v>161</v>
      </c>
      <c r="E16" s="231" t="str">
        <f>IFERROR(INDEX(Servicios!$B:$B,MATCH($D16,Servicios!$A:$A,0)),"")</f>
        <v>Manicure semipermanente</v>
      </c>
      <c r="F16" s="146" t="s">
        <v>234</v>
      </c>
      <c r="G16" s="146" t="s">
        <v>43</v>
      </c>
      <c r="H16" s="230">
        <f>IFERROR(INDEX(Servicios!$D:$D,MATCH($D16,Servicios!$A:$A,0)),0)</f>
        <v>60</v>
      </c>
      <c r="I16" s="226">
        <f>IFERROR(INDEX(Servicios!$E:$E,MATCH($D16,Servicios!$A:$A,0)),0)</f>
        <v>55000</v>
      </c>
      <c r="J16" s="156"/>
      <c r="K16" s="226">
        <f t="shared" si="1"/>
        <v>55000</v>
      </c>
      <c r="L16" s="226">
        <f>IFERROR(K16*IFERROR(INDEX(Servicios!$G:$G,MATCH($D16,Servicios!$A:$A,0)),0),0)</f>
        <v>15400.000000000002</v>
      </c>
      <c r="M16" s="226">
        <f>IFERROR(K16-L16-IFERROR(INDEX(Servicios!$F:$F,MATCH($D16,Servicios!$A:$A,0)),0),0)</f>
        <v>31460</v>
      </c>
    </row>
    <row r="17" spans="1:13" ht="15" customHeight="1" x14ac:dyDescent="0.3">
      <c r="A17" s="164">
        <v>46207</v>
      </c>
      <c r="B17" s="231" t="str">
        <f t="shared" si="0"/>
        <v>sáb</v>
      </c>
      <c r="C17" s="146" t="s">
        <v>110</v>
      </c>
      <c r="D17" s="146" t="s">
        <v>165</v>
      </c>
      <c r="E17" s="231" t="str">
        <f>IFERROR(INDEX(Servicios!$B:$B,MATCH($D17,Servicios!$A:$A,0)),"")</f>
        <v>Diseño de uñas</v>
      </c>
      <c r="F17" s="146" t="s">
        <v>235</v>
      </c>
      <c r="G17" s="146" t="s">
        <v>236</v>
      </c>
      <c r="H17" s="230">
        <f>IFERROR(INDEX(Servicios!$D:$D,MATCH($D17,Servicios!$A:$A,0)),0)</f>
        <v>35</v>
      </c>
      <c r="I17" s="226">
        <f>IFERROR(INDEX(Servicios!$E:$E,MATCH($D17,Servicios!$A:$A,0)),0)</f>
        <v>28000</v>
      </c>
      <c r="J17" s="156"/>
      <c r="K17" s="226">
        <f t="shared" si="1"/>
        <v>28000</v>
      </c>
      <c r="L17" s="226">
        <f>IFERROR(K17*IFERROR(INDEX(Servicios!$G:$G,MATCH($D17,Servicios!$A:$A,0)),0),0)</f>
        <v>7840.0000000000009</v>
      </c>
      <c r="M17" s="226">
        <f>IFERROR(K17-L17-IFERROR(INDEX(Servicios!$F:$F,MATCH($D17,Servicios!$A:$A,0)),0),0)</f>
        <v>16360</v>
      </c>
    </row>
    <row r="18" spans="1:13" ht="15" customHeight="1" x14ac:dyDescent="0.3">
      <c r="A18" s="164">
        <v>46207</v>
      </c>
      <c r="B18" s="231" t="str">
        <f t="shared" si="0"/>
        <v>sáb</v>
      </c>
      <c r="C18" s="146" t="s">
        <v>110</v>
      </c>
      <c r="D18" s="146" t="s">
        <v>165</v>
      </c>
      <c r="E18" s="231" t="str">
        <f>IFERROR(INDEX(Servicios!$B:$B,MATCH($D18,Servicios!$A:$A,0)),"")</f>
        <v>Diseño de uñas</v>
      </c>
      <c r="F18" s="146" t="s">
        <v>237</v>
      </c>
      <c r="G18" s="146" t="s">
        <v>236</v>
      </c>
      <c r="H18" s="230">
        <f>IFERROR(INDEX(Servicios!$D:$D,MATCH($D18,Servicios!$A:$A,0)),0)</f>
        <v>35</v>
      </c>
      <c r="I18" s="226">
        <f>IFERROR(INDEX(Servicios!$E:$E,MATCH($D18,Servicios!$A:$A,0)),0)</f>
        <v>28000</v>
      </c>
      <c r="J18" s="156"/>
      <c r="K18" s="226">
        <f t="shared" si="1"/>
        <v>28000</v>
      </c>
      <c r="L18" s="226">
        <f>IFERROR(K18*IFERROR(INDEX(Servicios!$G:$G,MATCH($D18,Servicios!$A:$A,0)),0),0)</f>
        <v>7840.0000000000009</v>
      </c>
      <c r="M18" s="226">
        <f>IFERROR(K18-L18-IFERROR(INDEX(Servicios!$F:$F,MATCH($D18,Servicios!$A:$A,0)),0),0)</f>
        <v>16360</v>
      </c>
    </row>
    <row r="19" spans="1:13" ht="15" customHeight="1" x14ac:dyDescent="0.3">
      <c r="A19" s="164">
        <v>46208</v>
      </c>
      <c r="B19" s="231" t="str">
        <f t="shared" si="0"/>
        <v>dom</v>
      </c>
      <c r="C19" s="146" t="s">
        <v>113</v>
      </c>
      <c r="D19" s="146" t="s">
        <v>148</v>
      </c>
      <c r="E19" s="231" t="str">
        <f>IFERROR(INDEX(Servicios!$B:$B,MATCH($D19,Servicios!$A:$A,0)),"")</f>
        <v>Barba y perfilado</v>
      </c>
      <c r="F19" s="146" t="s">
        <v>238</v>
      </c>
      <c r="G19" s="146" t="s">
        <v>43</v>
      </c>
      <c r="H19" s="230">
        <f>IFERROR(INDEX(Servicios!$D:$D,MATCH($D19,Servicios!$A:$A,0)),0)</f>
        <v>25</v>
      </c>
      <c r="I19" s="226">
        <f>IFERROR(INDEX(Servicios!$E:$E,MATCH($D19,Servicios!$A:$A,0)),0)</f>
        <v>20000</v>
      </c>
      <c r="J19" s="156"/>
      <c r="K19" s="226">
        <f t="shared" si="1"/>
        <v>20000</v>
      </c>
      <c r="L19" s="226">
        <f>IFERROR(K19*IFERROR(INDEX(Servicios!$G:$G,MATCH($D19,Servicios!$A:$A,0)),0),0)</f>
        <v>6400</v>
      </c>
      <c r="M19" s="226">
        <f>IFERROR(K19-L19-IFERROR(INDEX(Servicios!$F:$F,MATCH($D19,Servicios!$A:$A,0)),0),0)</f>
        <v>13600</v>
      </c>
    </row>
    <row r="20" spans="1:13" ht="15" customHeight="1" x14ac:dyDescent="0.3">
      <c r="A20" s="164">
        <v>46208</v>
      </c>
      <c r="B20" s="231" t="str">
        <f t="shared" si="0"/>
        <v>dom</v>
      </c>
      <c r="C20" s="146" t="s">
        <v>113</v>
      </c>
      <c r="D20" s="146" t="s">
        <v>151</v>
      </c>
      <c r="E20" s="231" t="str">
        <f>IFERROR(INDEX(Servicios!$B:$B,MATCH($D20,Servicios!$A:$A,0)),"")</f>
        <v>Corte caballero + barba</v>
      </c>
      <c r="F20" s="146" t="s">
        <v>239</v>
      </c>
      <c r="G20" s="146" t="s">
        <v>43</v>
      </c>
      <c r="H20" s="230">
        <f>IFERROR(INDEX(Servicios!$D:$D,MATCH($D20,Servicios!$A:$A,0)),0)</f>
        <v>50</v>
      </c>
      <c r="I20" s="226">
        <f>IFERROR(INDEX(Servicios!$E:$E,MATCH($D20,Servicios!$A:$A,0)),0)</f>
        <v>42000</v>
      </c>
      <c r="J20" s="148">
        <v>0.15</v>
      </c>
      <c r="K20" s="226">
        <f t="shared" si="1"/>
        <v>35700</v>
      </c>
      <c r="L20" s="226">
        <f>IFERROR(K20*IFERROR(INDEX(Servicios!$G:$G,MATCH($D20,Servicios!$A:$A,0)),0),0)</f>
        <v>11424</v>
      </c>
      <c r="M20" s="226">
        <f>IFERROR(K20-L20-IFERROR(INDEX(Servicios!$F:$F,MATCH($D20,Servicios!$A:$A,0)),0),0)</f>
        <v>24276</v>
      </c>
    </row>
    <row r="21" spans="1:13" ht="15" customHeight="1" x14ac:dyDescent="0.3">
      <c r="A21" s="164">
        <v>46208</v>
      </c>
      <c r="B21" s="231" t="str">
        <f t="shared" si="0"/>
        <v>dom</v>
      </c>
      <c r="C21" s="146" t="s">
        <v>113</v>
      </c>
      <c r="D21" s="146" t="s">
        <v>151</v>
      </c>
      <c r="E21" s="231" t="str">
        <f>IFERROR(INDEX(Servicios!$B:$B,MATCH($D21,Servicios!$A:$A,0)),"")</f>
        <v>Corte caballero + barba</v>
      </c>
      <c r="F21" s="146" t="s">
        <v>235</v>
      </c>
      <c r="G21" s="146" t="s">
        <v>45</v>
      </c>
      <c r="H21" s="230">
        <f>IFERROR(INDEX(Servicios!$D:$D,MATCH($D21,Servicios!$A:$A,0)),0)</f>
        <v>50</v>
      </c>
      <c r="I21" s="226">
        <f>IFERROR(INDEX(Servicios!$E:$E,MATCH($D21,Servicios!$A:$A,0)),0)</f>
        <v>42000</v>
      </c>
      <c r="J21" s="156"/>
      <c r="K21" s="226">
        <f t="shared" si="1"/>
        <v>42000</v>
      </c>
      <c r="L21" s="226">
        <f>IFERROR(K21*IFERROR(INDEX(Servicios!$G:$G,MATCH($D21,Servicios!$A:$A,0)),0),0)</f>
        <v>13440</v>
      </c>
      <c r="M21" s="226">
        <f>IFERROR(K21-L21-IFERROR(INDEX(Servicios!$F:$F,MATCH($D21,Servicios!$A:$A,0)),0),0)</f>
        <v>28560</v>
      </c>
    </row>
    <row r="22" spans="1:13" ht="15" customHeight="1" x14ac:dyDescent="0.3">
      <c r="A22" s="164">
        <v>46208</v>
      </c>
      <c r="B22" s="231" t="str">
        <f t="shared" si="0"/>
        <v>dom</v>
      </c>
      <c r="C22" s="146" t="s">
        <v>98</v>
      </c>
      <c r="D22" s="146" t="s">
        <v>155</v>
      </c>
      <c r="E22" s="231" t="str">
        <f>IFERROR(INDEX(Servicios!$B:$B,MATCH($D22,Servicios!$A:$A,0)),"")</f>
        <v>Matización / toner</v>
      </c>
      <c r="F22" s="146" t="s">
        <v>240</v>
      </c>
      <c r="G22" s="146" t="s">
        <v>236</v>
      </c>
      <c r="H22" s="230">
        <f>IFERROR(INDEX(Servicios!$D:$D,MATCH($D22,Servicios!$A:$A,0)),0)</f>
        <v>45</v>
      </c>
      <c r="I22" s="226">
        <f>IFERROR(INDEX(Servicios!$E:$E,MATCH($D22,Servicios!$A:$A,0)),0)</f>
        <v>68000</v>
      </c>
      <c r="J22" s="156"/>
      <c r="K22" s="226">
        <f t="shared" si="1"/>
        <v>68000</v>
      </c>
      <c r="L22" s="226">
        <f>IFERROR(K22*IFERROR(INDEX(Servicios!$G:$G,MATCH($D22,Servicios!$A:$A,0)),0),0)</f>
        <v>22440</v>
      </c>
      <c r="M22" s="226">
        <f>IFERROR(K22-L22-IFERROR(INDEX(Servicios!$F:$F,MATCH($D22,Servicios!$A:$A,0)),0),0)</f>
        <v>41876</v>
      </c>
    </row>
    <row r="23" spans="1:13" ht="15" customHeight="1" x14ac:dyDescent="0.3">
      <c r="A23" s="164">
        <v>46208</v>
      </c>
      <c r="B23" s="231" t="str">
        <f t="shared" si="0"/>
        <v>dom</v>
      </c>
      <c r="C23" s="146" t="s">
        <v>110</v>
      </c>
      <c r="D23" s="146" t="s">
        <v>157</v>
      </c>
      <c r="E23" s="231" t="str">
        <f>IFERROR(INDEX(Servicios!$B:$B,MATCH($D23,Servicios!$A:$A,0)),"")</f>
        <v>Hidratación profunda</v>
      </c>
      <c r="F23" s="146" t="s">
        <v>241</v>
      </c>
      <c r="G23" s="146" t="s">
        <v>41</v>
      </c>
      <c r="H23" s="230">
        <f>IFERROR(INDEX(Servicios!$D:$D,MATCH($D23,Servicios!$A:$A,0)),0)</f>
        <v>45</v>
      </c>
      <c r="I23" s="226">
        <f>IFERROR(INDEX(Servicios!$E:$E,MATCH($D23,Servicios!$A:$A,0)),0)</f>
        <v>65000</v>
      </c>
      <c r="J23" s="156"/>
      <c r="K23" s="226">
        <f t="shared" si="1"/>
        <v>65000</v>
      </c>
      <c r="L23" s="226">
        <f>IFERROR(K23*IFERROR(INDEX(Servicios!$G:$G,MATCH($D23,Servicios!$A:$A,0)),0),0)</f>
        <v>19500</v>
      </c>
      <c r="M23" s="226">
        <f>IFERROR(K23-L23-IFERROR(INDEX(Servicios!$F:$F,MATCH($D23,Servicios!$A:$A,0)),0),0)</f>
        <v>39900</v>
      </c>
    </row>
    <row r="24" spans="1:13" ht="15" customHeight="1" x14ac:dyDescent="0.3">
      <c r="A24" s="164">
        <v>46208</v>
      </c>
      <c r="B24" s="231" t="str">
        <f t="shared" si="0"/>
        <v>dom</v>
      </c>
      <c r="C24" s="146" t="s">
        <v>116</v>
      </c>
      <c r="D24" s="146" t="s">
        <v>161</v>
      </c>
      <c r="E24" s="231" t="str">
        <f>IFERROR(INDEX(Servicios!$B:$B,MATCH($D24,Servicios!$A:$A,0)),"")</f>
        <v>Manicure semipermanente</v>
      </c>
      <c r="F24" s="146" t="s">
        <v>242</v>
      </c>
      <c r="G24" s="146" t="s">
        <v>41</v>
      </c>
      <c r="H24" s="230">
        <f>IFERROR(INDEX(Servicios!$D:$D,MATCH($D24,Servicios!$A:$A,0)),0)</f>
        <v>60</v>
      </c>
      <c r="I24" s="226">
        <f>IFERROR(INDEX(Servicios!$E:$E,MATCH($D24,Servicios!$A:$A,0)),0)</f>
        <v>55000</v>
      </c>
      <c r="J24" s="156"/>
      <c r="K24" s="226">
        <f t="shared" si="1"/>
        <v>55000</v>
      </c>
      <c r="L24" s="226">
        <f>IFERROR(K24*IFERROR(INDEX(Servicios!$G:$G,MATCH($D24,Servicios!$A:$A,0)),0),0)</f>
        <v>15400.000000000002</v>
      </c>
      <c r="M24" s="226">
        <f>IFERROR(K24-L24-IFERROR(INDEX(Servicios!$F:$F,MATCH($D24,Servicios!$A:$A,0)),0),0)</f>
        <v>31460</v>
      </c>
    </row>
    <row r="25" spans="1:13" ht="15" customHeight="1" x14ac:dyDescent="0.3">
      <c r="A25" s="164">
        <v>46208</v>
      </c>
      <c r="B25" s="231" t="str">
        <f t="shared" si="0"/>
        <v>dom</v>
      </c>
      <c r="C25" s="146" t="s">
        <v>116</v>
      </c>
      <c r="D25" s="146" t="s">
        <v>161</v>
      </c>
      <c r="E25" s="231" t="str">
        <f>IFERROR(INDEX(Servicios!$B:$B,MATCH($D25,Servicios!$A:$A,0)),"")</f>
        <v>Manicure semipermanente</v>
      </c>
      <c r="F25" s="146" t="s">
        <v>243</v>
      </c>
      <c r="G25" s="146" t="s">
        <v>45</v>
      </c>
      <c r="H25" s="230">
        <f>IFERROR(INDEX(Servicios!$D:$D,MATCH($D25,Servicios!$A:$A,0)),0)</f>
        <v>60</v>
      </c>
      <c r="I25" s="226">
        <f>IFERROR(INDEX(Servicios!$E:$E,MATCH($D25,Servicios!$A:$A,0)),0)</f>
        <v>55000</v>
      </c>
      <c r="J25" s="156"/>
      <c r="K25" s="226">
        <f t="shared" si="1"/>
        <v>55000</v>
      </c>
      <c r="L25" s="226">
        <f>IFERROR(K25*IFERROR(INDEX(Servicios!$G:$G,MATCH($D25,Servicios!$A:$A,0)),0),0)</f>
        <v>15400.000000000002</v>
      </c>
      <c r="M25" s="226">
        <f>IFERROR(K25-L25-IFERROR(INDEX(Servicios!$F:$F,MATCH($D25,Servicios!$A:$A,0)),0),0)</f>
        <v>31460</v>
      </c>
    </row>
    <row r="26" spans="1:13" ht="15" customHeight="1" x14ac:dyDescent="0.3">
      <c r="A26" s="164">
        <v>46208</v>
      </c>
      <c r="B26" s="231" t="str">
        <f t="shared" si="0"/>
        <v>dom</v>
      </c>
      <c r="C26" s="146" t="s">
        <v>116</v>
      </c>
      <c r="D26" s="146" t="s">
        <v>163</v>
      </c>
      <c r="E26" s="231" t="str">
        <f>IFERROR(INDEX(Servicios!$B:$B,MATCH($D26,Servicios!$A:$A,0)),"")</f>
        <v>Pedicure spa</v>
      </c>
      <c r="F26" s="146" t="s">
        <v>244</v>
      </c>
      <c r="G26" s="146" t="s">
        <v>236</v>
      </c>
      <c r="H26" s="230">
        <f>IFERROR(INDEX(Servicios!$D:$D,MATCH($D26,Servicios!$A:$A,0)),0)</f>
        <v>70</v>
      </c>
      <c r="I26" s="226">
        <f>IFERROR(INDEX(Servicios!$E:$E,MATCH($D26,Servicios!$A:$A,0)),0)</f>
        <v>62000</v>
      </c>
      <c r="J26" s="156"/>
      <c r="K26" s="226">
        <f t="shared" si="1"/>
        <v>62000</v>
      </c>
      <c r="L26" s="226">
        <f>IFERROR(K26*IFERROR(INDEX(Servicios!$G:$G,MATCH($D26,Servicios!$A:$A,0)),0),0)</f>
        <v>17360</v>
      </c>
      <c r="M26" s="226">
        <f>IFERROR(K26-L26-IFERROR(INDEX(Servicios!$F:$F,MATCH($D26,Servicios!$A:$A,0)),0),0)</f>
        <v>38265</v>
      </c>
    </row>
    <row r="27" spans="1:13" ht="15" customHeight="1" x14ac:dyDescent="0.3">
      <c r="A27" s="164">
        <v>46208</v>
      </c>
      <c r="B27" s="231" t="str">
        <f t="shared" si="0"/>
        <v>dom</v>
      </c>
      <c r="C27" s="146" t="s">
        <v>116</v>
      </c>
      <c r="D27" s="146" t="s">
        <v>163</v>
      </c>
      <c r="E27" s="231" t="str">
        <f>IFERROR(INDEX(Servicios!$B:$B,MATCH($D27,Servicios!$A:$A,0)),"")</f>
        <v>Pedicure spa</v>
      </c>
      <c r="F27" s="146" t="s">
        <v>245</v>
      </c>
      <c r="G27" s="146" t="s">
        <v>45</v>
      </c>
      <c r="H27" s="230">
        <f>IFERROR(INDEX(Servicios!$D:$D,MATCH($D27,Servicios!$A:$A,0)),0)</f>
        <v>70</v>
      </c>
      <c r="I27" s="226">
        <f>IFERROR(INDEX(Servicios!$E:$E,MATCH($D27,Servicios!$A:$A,0)),0)</f>
        <v>62000</v>
      </c>
      <c r="J27" s="156"/>
      <c r="K27" s="226">
        <f t="shared" si="1"/>
        <v>62000</v>
      </c>
      <c r="L27" s="226">
        <f>IFERROR(K27*IFERROR(INDEX(Servicios!$G:$G,MATCH($D27,Servicios!$A:$A,0)),0),0)</f>
        <v>17360</v>
      </c>
      <c r="M27" s="226">
        <f>IFERROR(K27-L27-IFERROR(INDEX(Servicios!$F:$F,MATCH($D27,Servicios!$A:$A,0)),0),0)</f>
        <v>38265</v>
      </c>
    </row>
    <row r="28" spans="1:13" ht="15" customHeight="1" x14ac:dyDescent="0.3">
      <c r="A28" s="164">
        <v>46208</v>
      </c>
      <c r="B28" s="231" t="str">
        <f t="shared" si="0"/>
        <v>dom</v>
      </c>
      <c r="C28" s="146" t="s">
        <v>116</v>
      </c>
      <c r="D28" s="146" t="s">
        <v>169</v>
      </c>
      <c r="E28" s="231" t="str">
        <f>IFERROR(INDEX(Servicios!$B:$B,MATCH($D28,Servicios!$A:$A,0)),"")</f>
        <v>Depilación de cejas</v>
      </c>
      <c r="F28" s="146" t="s">
        <v>246</v>
      </c>
      <c r="G28" s="146" t="s">
        <v>41</v>
      </c>
      <c r="H28" s="230">
        <f>IFERROR(INDEX(Servicios!$D:$D,MATCH($D28,Servicios!$A:$A,0)),0)</f>
        <v>20</v>
      </c>
      <c r="I28" s="226">
        <f>IFERROR(INDEX(Servicios!$E:$E,MATCH($D28,Servicios!$A:$A,0)),0)</f>
        <v>18000</v>
      </c>
      <c r="J28" s="156"/>
      <c r="K28" s="226">
        <f t="shared" si="1"/>
        <v>18000</v>
      </c>
      <c r="L28" s="226">
        <f>IFERROR(K28*IFERROR(INDEX(Servicios!$G:$G,MATCH($D28,Servicios!$A:$A,0)),0),0)</f>
        <v>4500</v>
      </c>
      <c r="M28" s="226">
        <f>IFERROR(K28-L28-IFERROR(INDEX(Servicios!$F:$F,MATCH($D28,Servicios!$A:$A,0)),0),0)</f>
        <v>11875</v>
      </c>
    </row>
    <row r="29" spans="1:13" ht="15" customHeight="1" x14ac:dyDescent="0.3">
      <c r="A29" s="164">
        <v>46208</v>
      </c>
      <c r="B29" s="231" t="str">
        <f t="shared" si="0"/>
        <v>dom</v>
      </c>
      <c r="C29" s="146" t="s">
        <v>110</v>
      </c>
      <c r="D29" s="146" t="s">
        <v>169</v>
      </c>
      <c r="E29" s="231" t="str">
        <f>IFERROR(INDEX(Servicios!$B:$B,MATCH($D29,Servicios!$A:$A,0)),"")</f>
        <v>Depilación de cejas</v>
      </c>
      <c r="F29" s="146" t="s">
        <v>247</v>
      </c>
      <c r="G29" s="146" t="s">
        <v>41</v>
      </c>
      <c r="H29" s="230">
        <f>IFERROR(INDEX(Servicios!$D:$D,MATCH($D29,Servicios!$A:$A,0)),0)</f>
        <v>20</v>
      </c>
      <c r="I29" s="226">
        <f>IFERROR(INDEX(Servicios!$E:$E,MATCH($D29,Servicios!$A:$A,0)),0)</f>
        <v>18000</v>
      </c>
      <c r="J29" s="156"/>
      <c r="K29" s="226">
        <f t="shared" si="1"/>
        <v>18000</v>
      </c>
      <c r="L29" s="226">
        <f>IFERROR(K29*IFERROR(INDEX(Servicios!$G:$G,MATCH($D29,Servicios!$A:$A,0)),0),0)</f>
        <v>4500</v>
      </c>
      <c r="M29" s="226">
        <f>IFERROR(K29-L29-IFERROR(INDEX(Servicios!$F:$F,MATCH($D29,Servicios!$A:$A,0)),0),0)</f>
        <v>11875</v>
      </c>
    </row>
    <row r="30" spans="1:13" ht="15" customHeight="1" x14ac:dyDescent="0.3">
      <c r="A30" s="164">
        <v>46208</v>
      </c>
      <c r="B30" s="231" t="str">
        <f t="shared" si="0"/>
        <v>dom</v>
      </c>
      <c r="C30" s="146" t="s">
        <v>110</v>
      </c>
      <c r="D30" s="146" t="s">
        <v>169</v>
      </c>
      <c r="E30" s="231" t="str">
        <f>IFERROR(INDEX(Servicios!$B:$B,MATCH($D30,Servicios!$A:$A,0)),"")</f>
        <v>Depilación de cejas</v>
      </c>
      <c r="F30" s="146" t="s">
        <v>248</v>
      </c>
      <c r="G30" s="146" t="s">
        <v>43</v>
      </c>
      <c r="H30" s="230">
        <f>IFERROR(INDEX(Servicios!$D:$D,MATCH($D30,Servicios!$A:$A,0)),0)</f>
        <v>20</v>
      </c>
      <c r="I30" s="226">
        <f>IFERROR(INDEX(Servicios!$E:$E,MATCH($D30,Servicios!$A:$A,0)),0)</f>
        <v>18000</v>
      </c>
      <c r="J30" s="156"/>
      <c r="K30" s="226">
        <f t="shared" si="1"/>
        <v>18000</v>
      </c>
      <c r="L30" s="226">
        <f>IFERROR(K30*IFERROR(INDEX(Servicios!$G:$G,MATCH($D30,Servicios!$A:$A,0)),0),0)</f>
        <v>4500</v>
      </c>
      <c r="M30" s="226">
        <f>IFERROR(K30-L30-IFERROR(INDEX(Servicios!$F:$F,MATCH($D30,Servicios!$A:$A,0)),0),0)</f>
        <v>11875</v>
      </c>
    </row>
    <row r="31" spans="1:13" ht="15" customHeight="1" x14ac:dyDescent="0.3">
      <c r="A31" s="164">
        <v>46210</v>
      </c>
      <c r="B31" s="231" t="str">
        <f t="shared" si="0"/>
        <v>mar</v>
      </c>
      <c r="C31" s="146" t="s">
        <v>113</v>
      </c>
      <c r="D31" s="146" t="s">
        <v>148</v>
      </c>
      <c r="E31" s="231" t="str">
        <f>IFERROR(INDEX(Servicios!$B:$B,MATCH($D31,Servicios!$A:$A,0)),"")</f>
        <v>Barba y perfilado</v>
      </c>
      <c r="F31" s="146" t="s">
        <v>239</v>
      </c>
      <c r="G31" s="146" t="s">
        <v>43</v>
      </c>
      <c r="H31" s="230">
        <f>IFERROR(INDEX(Servicios!$D:$D,MATCH($D31,Servicios!$A:$A,0)),0)</f>
        <v>25</v>
      </c>
      <c r="I31" s="226">
        <f>IFERROR(INDEX(Servicios!$E:$E,MATCH($D31,Servicios!$A:$A,0)),0)</f>
        <v>20000</v>
      </c>
      <c r="J31" s="156"/>
      <c r="K31" s="226">
        <f t="shared" si="1"/>
        <v>20000</v>
      </c>
      <c r="L31" s="226">
        <f>IFERROR(K31*IFERROR(INDEX(Servicios!$G:$G,MATCH($D31,Servicios!$A:$A,0)),0),0)</f>
        <v>6400</v>
      </c>
      <c r="M31" s="226">
        <f>IFERROR(K31-L31-IFERROR(INDEX(Servicios!$F:$F,MATCH($D31,Servicios!$A:$A,0)),0),0)</f>
        <v>13600</v>
      </c>
    </row>
    <row r="32" spans="1:13" ht="15" customHeight="1" x14ac:dyDescent="0.3">
      <c r="A32" s="164">
        <v>46210</v>
      </c>
      <c r="B32" s="231" t="str">
        <f t="shared" si="0"/>
        <v>mar</v>
      </c>
      <c r="C32" s="146" t="s">
        <v>113</v>
      </c>
      <c r="D32" s="146" t="s">
        <v>148</v>
      </c>
      <c r="E32" s="231" t="str">
        <f>IFERROR(INDEX(Servicios!$B:$B,MATCH($D32,Servicios!$A:$A,0)),"")</f>
        <v>Barba y perfilado</v>
      </c>
      <c r="F32" s="146" t="s">
        <v>249</v>
      </c>
      <c r="G32" s="146" t="s">
        <v>43</v>
      </c>
      <c r="H32" s="230">
        <f>IFERROR(INDEX(Servicios!$D:$D,MATCH($D32,Servicios!$A:$A,0)),0)</f>
        <v>25</v>
      </c>
      <c r="I32" s="226">
        <f>IFERROR(INDEX(Servicios!$E:$E,MATCH($D32,Servicios!$A:$A,0)),0)</f>
        <v>20000</v>
      </c>
      <c r="J32" s="156"/>
      <c r="K32" s="226">
        <f t="shared" si="1"/>
        <v>20000</v>
      </c>
      <c r="L32" s="226">
        <f>IFERROR(K32*IFERROR(INDEX(Servicios!$G:$G,MATCH($D32,Servicios!$A:$A,0)),0),0)</f>
        <v>6400</v>
      </c>
      <c r="M32" s="226">
        <f>IFERROR(K32-L32-IFERROR(INDEX(Servicios!$F:$F,MATCH($D32,Servicios!$A:$A,0)),0),0)</f>
        <v>13600</v>
      </c>
    </row>
    <row r="33" spans="1:13" ht="15" customHeight="1" x14ac:dyDescent="0.3">
      <c r="A33" s="164">
        <v>46210</v>
      </c>
      <c r="B33" s="231" t="str">
        <f t="shared" si="0"/>
        <v>mar</v>
      </c>
      <c r="C33" s="146" t="s">
        <v>113</v>
      </c>
      <c r="D33" s="146" t="s">
        <v>151</v>
      </c>
      <c r="E33" s="231" t="str">
        <f>IFERROR(INDEX(Servicios!$B:$B,MATCH($D33,Servicios!$A:$A,0)),"")</f>
        <v>Corte caballero + barba</v>
      </c>
      <c r="F33" s="146" t="s">
        <v>250</v>
      </c>
      <c r="G33" s="146" t="s">
        <v>43</v>
      </c>
      <c r="H33" s="230">
        <f>IFERROR(INDEX(Servicios!$D:$D,MATCH($D33,Servicios!$A:$A,0)),0)</f>
        <v>50</v>
      </c>
      <c r="I33" s="226">
        <f>IFERROR(INDEX(Servicios!$E:$E,MATCH($D33,Servicios!$A:$A,0)),0)</f>
        <v>42000</v>
      </c>
      <c r="J33" s="156"/>
      <c r="K33" s="226">
        <f t="shared" si="1"/>
        <v>42000</v>
      </c>
      <c r="L33" s="226">
        <f>IFERROR(K33*IFERROR(INDEX(Servicios!$G:$G,MATCH($D33,Servicios!$A:$A,0)),0),0)</f>
        <v>13440</v>
      </c>
      <c r="M33" s="226">
        <f>IFERROR(K33-L33-IFERROR(INDEX(Servicios!$F:$F,MATCH($D33,Servicios!$A:$A,0)),0),0)</f>
        <v>28560</v>
      </c>
    </row>
    <row r="34" spans="1:13" ht="15" customHeight="1" x14ac:dyDescent="0.3">
      <c r="A34" s="164">
        <v>46210</v>
      </c>
      <c r="B34" s="231" t="str">
        <f t="shared" si="0"/>
        <v>mar</v>
      </c>
      <c r="C34" s="146" t="s">
        <v>113</v>
      </c>
      <c r="D34" s="146" t="s">
        <v>151</v>
      </c>
      <c r="E34" s="231" t="str">
        <f>IFERROR(INDEX(Servicios!$B:$B,MATCH($D34,Servicios!$A:$A,0)),"")</f>
        <v>Corte caballero + barba</v>
      </c>
      <c r="F34" s="146" t="s">
        <v>232</v>
      </c>
      <c r="G34" s="146" t="s">
        <v>43</v>
      </c>
      <c r="H34" s="230">
        <f>IFERROR(INDEX(Servicios!$D:$D,MATCH($D34,Servicios!$A:$A,0)),0)</f>
        <v>50</v>
      </c>
      <c r="I34" s="226">
        <f>IFERROR(INDEX(Servicios!$E:$E,MATCH($D34,Servicios!$A:$A,0)),0)</f>
        <v>42000</v>
      </c>
      <c r="J34" s="156"/>
      <c r="K34" s="226">
        <f t="shared" si="1"/>
        <v>42000</v>
      </c>
      <c r="L34" s="226">
        <f>IFERROR(K34*IFERROR(INDEX(Servicios!$G:$G,MATCH($D34,Servicios!$A:$A,0)),0),0)</f>
        <v>13440</v>
      </c>
      <c r="M34" s="226">
        <f>IFERROR(K34-L34-IFERROR(INDEX(Servicios!$F:$F,MATCH($D34,Servicios!$A:$A,0)),0),0)</f>
        <v>28560</v>
      </c>
    </row>
    <row r="35" spans="1:13" ht="15" customHeight="1" x14ac:dyDescent="0.3">
      <c r="A35" s="164">
        <v>46210</v>
      </c>
      <c r="B35" s="231" t="str">
        <f t="shared" si="0"/>
        <v>mar</v>
      </c>
      <c r="C35" s="146" t="s">
        <v>104</v>
      </c>
      <c r="D35" s="146" t="s">
        <v>153</v>
      </c>
      <c r="E35" s="231" t="str">
        <f>IFERROR(INDEX(Servicios!$B:$B,MATCH($D35,Servicios!$A:$A,0)),"")</f>
        <v>Retoque de color</v>
      </c>
      <c r="F35" s="146" t="s">
        <v>242</v>
      </c>
      <c r="G35" s="146" t="s">
        <v>45</v>
      </c>
      <c r="H35" s="230">
        <f>IFERROR(INDEX(Servicios!$D:$D,MATCH($D35,Servicios!$A:$A,0)),0)</f>
        <v>60</v>
      </c>
      <c r="I35" s="226">
        <f>IFERROR(INDEX(Servicios!$E:$E,MATCH($D35,Servicios!$A:$A,0)),0)</f>
        <v>75000</v>
      </c>
      <c r="J35" s="156"/>
      <c r="K35" s="226">
        <f t="shared" si="1"/>
        <v>75000</v>
      </c>
      <c r="L35" s="226">
        <f>IFERROR(K35*IFERROR(INDEX(Servicios!$G:$G,MATCH($D35,Servicios!$A:$A,0)),0),0)</f>
        <v>24750</v>
      </c>
      <c r="M35" s="226">
        <f>IFERROR(K35-L35-IFERROR(INDEX(Servicios!$F:$F,MATCH($D35,Servicios!$A:$A,0)),0),0)</f>
        <v>46454</v>
      </c>
    </row>
    <row r="36" spans="1:13" ht="15" customHeight="1" x14ac:dyDescent="0.3">
      <c r="A36" s="164">
        <v>46210</v>
      </c>
      <c r="B36" s="231" t="str">
        <f t="shared" si="0"/>
        <v>mar</v>
      </c>
      <c r="C36" s="146" t="s">
        <v>110</v>
      </c>
      <c r="D36" s="146" t="s">
        <v>157</v>
      </c>
      <c r="E36" s="231" t="str">
        <f>IFERROR(INDEX(Servicios!$B:$B,MATCH($D36,Servicios!$A:$A,0)),"")</f>
        <v>Hidratación profunda</v>
      </c>
      <c r="F36" s="146" t="s">
        <v>242</v>
      </c>
      <c r="G36" s="146" t="s">
        <v>43</v>
      </c>
      <c r="H36" s="230">
        <f>IFERROR(INDEX(Servicios!$D:$D,MATCH($D36,Servicios!$A:$A,0)),0)</f>
        <v>45</v>
      </c>
      <c r="I36" s="226">
        <f>IFERROR(INDEX(Servicios!$E:$E,MATCH($D36,Servicios!$A:$A,0)),0)</f>
        <v>65000</v>
      </c>
      <c r="J36" s="156"/>
      <c r="K36" s="226">
        <f t="shared" si="1"/>
        <v>65000</v>
      </c>
      <c r="L36" s="226">
        <f>IFERROR(K36*IFERROR(INDEX(Servicios!$G:$G,MATCH($D36,Servicios!$A:$A,0)),0),0)</f>
        <v>19500</v>
      </c>
      <c r="M36" s="226">
        <f>IFERROR(K36-L36-IFERROR(INDEX(Servicios!$F:$F,MATCH($D36,Servicios!$A:$A,0)),0),0)</f>
        <v>39900</v>
      </c>
    </row>
    <row r="37" spans="1:13" ht="15" customHeight="1" x14ac:dyDescent="0.3">
      <c r="A37" s="164">
        <v>46210</v>
      </c>
      <c r="B37" s="231" t="str">
        <f t="shared" si="0"/>
        <v>mar</v>
      </c>
      <c r="C37" s="146" t="s">
        <v>116</v>
      </c>
      <c r="D37" s="146" t="s">
        <v>163</v>
      </c>
      <c r="E37" s="231" t="str">
        <f>IFERROR(INDEX(Servicios!$B:$B,MATCH($D37,Servicios!$A:$A,0)),"")</f>
        <v>Pedicure spa</v>
      </c>
      <c r="F37" s="146" t="s">
        <v>223</v>
      </c>
      <c r="G37" s="146" t="s">
        <v>236</v>
      </c>
      <c r="H37" s="230">
        <f>IFERROR(INDEX(Servicios!$D:$D,MATCH($D37,Servicios!$A:$A,0)),0)</f>
        <v>70</v>
      </c>
      <c r="I37" s="226">
        <f>IFERROR(INDEX(Servicios!$E:$E,MATCH($D37,Servicios!$A:$A,0)),0)</f>
        <v>62000</v>
      </c>
      <c r="J37" s="156"/>
      <c r="K37" s="226">
        <f t="shared" si="1"/>
        <v>62000</v>
      </c>
      <c r="L37" s="226">
        <f>IFERROR(K37*IFERROR(INDEX(Servicios!$G:$G,MATCH($D37,Servicios!$A:$A,0)),0),0)</f>
        <v>17360</v>
      </c>
      <c r="M37" s="226">
        <f>IFERROR(K37-L37-IFERROR(INDEX(Servicios!$F:$F,MATCH($D37,Servicios!$A:$A,0)),0),0)</f>
        <v>38265</v>
      </c>
    </row>
    <row r="38" spans="1:13" ht="15" customHeight="1" x14ac:dyDescent="0.3">
      <c r="A38" s="164">
        <v>46210</v>
      </c>
      <c r="B38" s="231" t="str">
        <f t="shared" si="0"/>
        <v>mar</v>
      </c>
      <c r="C38" s="146" t="s">
        <v>98</v>
      </c>
      <c r="D38" s="146" t="s">
        <v>167</v>
      </c>
      <c r="E38" s="231" t="str">
        <f>IFERROR(INDEX(Servicios!$B:$B,MATCH($D38,Servicios!$A:$A,0)),"")</f>
        <v>Peinado para evento</v>
      </c>
      <c r="F38" s="146" t="s">
        <v>251</v>
      </c>
      <c r="G38" s="146" t="s">
        <v>236</v>
      </c>
      <c r="H38" s="230">
        <f>IFERROR(INDEX(Servicios!$D:$D,MATCH($D38,Servicios!$A:$A,0)),0)</f>
        <v>60</v>
      </c>
      <c r="I38" s="226">
        <f>IFERROR(INDEX(Servicios!$E:$E,MATCH($D38,Servicios!$A:$A,0)),0)</f>
        <v>85000</v>
      </c>
      <c r="J38" s="148">
        <v>0.1</v>
      </c>
      <c r="K38" s="226">
        <f t="shared" si="1"/>
        <v>76500</v>
      </c>
      <c r="L38" s="226">
        <f>IFERROR(K38*IFERROR(INDEX(Servicios!$G:$G,MATCH($D38,Servicios!$A:$A,0)),0),0)</f>
        <v>24480</v>
      </c>
      <c r="M38" s="226">
        <f>IFERROR(K38-L38-IFERROR(INDEX(Servicios!$F:$F,MATCH($D38,Servicios!$A:$A,0)),0),0)</f>
        <v>52020</v>
      </c>
    </row>
    <row r="39" spans="1:13" ht="15" customHeight="1" x14ac:dyDescent="0.3">
      <c r="A39" s="164">
        <v>46210</v>
      </c>
      <c r="B39" s="231" t="str">
        <f t="shared" si="0"/>
        <v>mar</v>
      </c>
      <c r="C39" s="146" t="s">
        <v>98</v>
      </c>
      <c r="D39" s="146" t="s">
        <v>167</v>
      </c>
      <c r="E39" s="231" t="str">
        <f>IFERROR(INDEX(Servicios!$B:$B,MATCH($D39,Servicios!$A:$A,0)),"")</f>
        <v>Peinado para evento</v>
      </c>
      <c r="F39" s="146" t="s">
        <v>252</v>
      </c>
      <c r="G39" s="146" t="s">
        <v>41</v>
      </c>
      <c r="H39" s="230">
        <f>IFERROR(INDEX(Servicios!$D:$D,MATCH($D39,Servicios!$A:$A,0)),0)</f>
        <v>60</v>
      </c>
      <c r="I39" s="226">
        <f>IFERROR(INDEX(Servicios!$E:$E,MATCH($D39,Servicios!$A:$A,0)),0)</f>
        <v>85000</v>
      </c>
      <c r="J39" s="156"/>
      <c r="K39" s="226">
        <f t="shared" si="1"/>
        <v>85000</v>
      </c>
      <c r="L39" s="226">
        <f>IFERROR(K39*IFERROR(INDEX(Servicios!$G:$G,MATCH($D39,Servicios!$A:$A,0)),0),0)</f>
        <v>27200</v>
      </c>
      <c r="M39" s="226">
        <f>IFERROR(K39-L39-IFERROR(INDEX(Servicios!$F:$F,MATCH($D39,Servicios!$A:$A,0)),0),0)</f>
        <v>57800</v>
      </c>
    </row>
    <row r="40" spans="1:13" ht="15" customHeight="1" x14ac:dyDescent="0.3">
      <c r="A40" s="164">
        <v>46210</v>
      </c>
      <c r="B40" s="231" t="str">
        <f t="shared" si="0"/>
        <v>mar</v>
      </c>
      <c r="C40" s="146" t="s">
        <v>116</v>
      </c>
      <c r="D40" s="146" t="s">
        <v>169</v>
      </c>
      <c r="E40" s="231" t="str">
        <f>IFERROR(INDEX(Servicios!$B:$B,MATCH($D40,Servicios!$A:$A,0)),"")</f>
        <v>Depilación de cejas</v>
      </c>
      <c r="F40" s="146" t="s">
        <v>253</v>
      </c>
      <c r="G40" s="146" t="s">
        <v>41</v>
      </c>
      <c r="H40" s="230">
        <f>IFERROR(INDEX(Servicios!$D:$D,MATCH($D40,Servicios!$A:$A,0)),0)</f>
        <v>20</v>
      </c>
      <c r="I40" s="226">
        <f>IFERROR(INDEX(Servicios!$E:$E,MATCH($D40,Servicios!$A:$A,0)),0)</f>
        <v>18000</v>
      </c>
      <c r="J40" s="156"/>
      <c r="K40" s="226">
        <f t="shared" si="1"/>
        <v>18000</v>
      </c>
      <c r="L40" s="226">
        <f>IFERROR(K40*IFERROR(INDEX(Servicios!$G:$G,MATCH($D40,Servicios!$A:$A,0)),0),0)</f>
        <v>4500</v>
      </c>
      <c r="M40" s="226">
        <f>IFERROR(K40-L40-IFERROR(INDEX(Servicios!$F:$F,MATCH($D40,Servicios!$A:$A,0)),0),0)</f>
        <v>11875</v>
      </c>
    </row>
    <row r="41" spans="1:13" ht="15" customHeight="1" x14ac:dyDescent="0.3">
      <c r="A41" s="164">
        <v>46211</v>
      </c>
      <c r="B41" s="231" t="str">
        <f t="shared" si="0"/>
        <v>mié</v>
      </c>
      <c r="C41" s="146" t="s">
        <v>98</v>
      </c>
      <c r="D41" s="146" t="s">
        <v>155</v>
      </c>
      <c r="E41" s="231" t="str">
        <f>IFERROR(INDEX(Servicios!$B:$B,MATCH($D41,Servicios!$A:$A,0)),"")</f>
        <v>Matización / toner</v>
      </c>
      <c r="F41" s="146" t="s">
        <v>228</v>
      </c>
      <c r="G41" s="146" t="s">
        <v>43</v>
      </c>
      <c r="H41" s="230">
        <f>IFERROR(INDEX(Servicios!$D:$D,MATCH($D41,Servicios!$A:$A,0)),0)</f>
        <v>45</v>
      </c>
      <c r="I41" s="226">
        <f>IFERROR(INDEX(Servicios!$E:$E,MATCH($D41,Servicios!$A:$A,0)),0)</f>
        <v>68000</v>
      </c>
      <c r="J41" s="156"/>
      <c r="K41" s="226">
        <f t="shared" si="1"/>
        <v>68000</v>
      </c>
      <c r="L41" s="226">
        <f>IFERROR(K41*IFERROR(INDEX(Servicios!$G:$G,MATCH($D41,Servicios!$A:$A,0)),0),0)</f>
        <v>22440</v>
      </c>
      <c r="M41" s="226">
        <f>IFERROR(K41-L41-IFERROR(INDEX(Servicios!$F:$F,MATCH($D41,Servicios!$A:$A,0)),0),0)</f>
        <v>41876</v>
      </c>
    </row>
    <row r="42" spans="1:13" ht="15" customHeight="1" x14ac:dyDescent="0.3">
      <c r="A42" s="164">
        <v>46211</v>
      </c>
      <c r="B42" s="231" t="str">
        <f t="shared" si="0"/>
        <v>mié</v>
      </c>
      <c r="C42" s="146" t="s">
        <v>116</v>
      </c>
      <c r="D42" s="146" t="s">
        <v>161</v>
      </c>
      <c r="E42" s="231" t="str">
        <f>IFERROR(INDEX(Servicios!$B:$B,MATCH($D42,Servicios!$A:$A,0)),"")</f>
        <v>Manicure semipermanente</v>
      </c>
      <c r="F42" s="146" t="s">
        <v>254</v>
      </c>
      <c r="G42" s="146" t="s">
        <v>236</v>
      </c>
      <c r="H42" s="230">
        <f>IFERROR(INDEX(Servicios!$D:$D,MATCH($D42,Servicios!$A:$A,0)),0)</f>
        <v>60</v>
      </c>
      <c r="I42" s="226">
        <f>IFERROR(INDEX(Servicios!$E:$E,MATCH($D42,Servicios!$A:$A,0)),0)</f>
        <v>55000</v>
      </c>
      <c r="J42" s="156"/>
      <c r="K42" s="226">
        <f t="shared" si="1"/>
        <v>55000</v>
      </c>
      <c r="L42" s="226">
        <f>IFERROR(K42*IFERROR(INDEX(Servicios!$G:$G,MATCH($D42,Servicios!$A:$A,0)),0),0)</f>
        <v>15400.000000000002</v>
      </c>
      <c r="M42" s="226">
        <f>IFERROR(K42-L42-IFERROR(INDEX(Servicios!$F:$F,MATCH($D42,Servicios!$A:$A,0)),0),0)</f>
        <v>31460</v>
      </c>
    </row>
    <row r="43" spans="1:13" ht="15" customHeight="1" x14ac:dyDescent="0.3">
      <c r="A43" s="164">
        <v>46212</v>
      </c>
      <c r="B43" s="231" t="str">
        <f t="shared" si="0"/>
        <v>jue</v>
      </c>
      <c r="C43" s="146" t="s">
        <v>110</v>
      </c>
      <c r="D43" s="146" t="s">
        <v>146</v>
      </c>
      <c r="E43" s="231" t="str">
        <f>IFERROR(INDEX(Servicios!$B:$B,MATCH($D43,Servicios!$A:$A,0)),"")</f>
        <v>Corte niño</v>
      </c>
      <c r="F43" s="146" t="s">
        <v>255</v>
      </c>
      <c r="G43" s="146" t="s">
        <v>41</v>
      </c>
      <c r="H43" s="230">
        <f>IFERROR(INDEX(Servicios!$D:$D,MATCH($D43,Servicios!$A:$A,0)),0)</f>
        <v>25</v>
      </c>
      <c r="I43" s="226">
        <f>IFERROR(INDEX(Servicios!$E:$E,MATCH($D43,Servicios!$A:$A,0)),0)</f>
        <v>22000</v>
      </c>
      <c r="J43" s="156"/>
      <c r="K43" s="226">
        <f t="shared" si="1"/>
        <v>22000</v>
      </c>
      <c r="L43" s="226">
        <f>IFERROR(K43*IFERROR(INDEX(Servicios!$G:$G,MATCH($D43,Servicios!$A:$A,0)),0),0)</f>
        <v>6160.0000000000009</v>
      </c>
      <c r="M43" s="226">
        <f>IFERROR(K43-L43-IFERROR(INDEX(Servicios!$F:$F,MATCH($D43,Servicios!$A:$A,0)),0),0)</f>
        <v>15840</v>
      </c>
    </row>
    <row r="44" spans="1:13" ht="15" customHeight="1" x14ac:dyDescent="0.3">
      <c r="A44" s="164">
        <v>46212</v>
      </c>
      <c r="B44" s="231" t="str">
        <f t="shared" si="0"/>
        <v>jue</v>
      </c>
      <c r="C44" s="146" t="s">
        <v>113</v>
      </c>
      <c r="D44" s="146" t="s">
        <v>151</v>
      </c>
      <c r="E44" s="231" t="str">
        <f>IFERROR(INDEX(Servicios!$B:$B,MATCH($D44,Servicios!$A:$A,0)),"")</f>
        <v>Corte caballero + barba</v>
      </c>
      <c r="F44" s="146" t="s">
        <v>256</v>
      </c>
      <c r="G44" s="146" t="s">
        <v>41</v>
      </c>
      <c r="H44" s="230">
        <f>IFERROR(INDEX(Servicios!$D:$D,MATCH($D44,Servicios!$A:$A,0)),0)</f>
        <v>50</v>
      </c>
      <c r="I44" s="226">
        <f>IFERROR(INDEX(Servicios!$E:$E,MATCH($D44,Servicios!$A:$A,0)),0)</f>
        <v>42000</v>
      </c>
      <c r="J44" s="156"/>
      <c r="K44" s="226">
        <f t="shared" si="1"/>
        <v>42000</v>
      </c>
      <c r="L44" s="226">
        <f>IFERROR(K44*IFERROR(INDEX(Servicios!$G:$G,MATCH($D44,Servicios!$A:$A,0)),0),0)</f>
        <v>13440</v>
      </c>
      <c r="M44" s="226">
        <f>IFERROR(K44-L44-IFERROR(INDEX(Servicios!$F:$F,MATCH($D44,Servicios!$A:$A,0)),0),0)</f>
        <v>28560</v>
      </c>
    </row>
    <row r="45" spans="1:13" ht="15" customHeight="1" x14ac:dyDescent="0.3">
      <c r="A45" s="164">
        <v>46212</v>
      </c>
      <c r="B45" s="231" t="str">
        <f t="shared" si="0"/>
        <v>jue</v>
      </c>
      <c r="C45" s="146" t="s">
        <v>104</v>
      </c>
      <c r="D45" s="146" t="s">
        <v>155</v>
      </c>
      <c r="E45" s="231" t="str">
        <f>IFERROR(INDEX(Servicios!$B:$B,MATCH($D45,Servicios!$A:$A,0)),"")</f>
        <v>Matización / toner</v>
      </c>
      <c r="F45" s="146" t="s">
        <v>257</v>
      </c>
      <c r="G45" s="146" t="s">
        <v>45</v>
      </c>
      <c r="H45" s="230">
        <f>IFERROR(INDEX(Servicios!$D:$D,MATCH($D45,Servicios!$A:$A,0)),0)</f>
        <v>45</v>
      </c>
      <c r="I45" s="226">
        <f>IFERROR(INDEX(Servicios!$E:$E,MATCH($D45,Servicios!$A:$A,0)),0)</f>
        <v>68000</v>
      </c>
      <c r="J45" s="156"/>
      <c r="K45" s="226">
        <f t="shared" si="1"/>
        <v>68000</v>
      </c>
      <c r="L45" s="226">
        <f>IFERROR(K45*IFERROR(INDEX(Servicios!$G:$G,MATCH($D45,Servicios!$A:$A,0)),0),0)</f>
        <v>22440</v>
      </c>
      <c r="M45" s="226">
        <f>IFERROR(K45-L45-IFERROR(INDEX(Servicios!$F:$F,MATCH($D45,Servicios!$A:$A,0)),0),0)</f>
        <v>41876</v>
      </c>
    </row>
    <row r="46" spans="1:13" ht="15" customHeight="1" x14ac:dyDescent="0.3">
      <c r="A46" s="164">
        <v>46212</v>
      </c>
      <c r="B46" s="231" t="str">
        <f t="shared" si="0"/>
        <v>jue</v>
      </c>
      <c r="C46" s="146" t="s">
        <v>104</v>
      </c>
      <c r="D46" s="146" t="s">
        <v>155</v>
      </c>
      <c r="E46" s="231" t="str">
        <f>IFERROR(INDEX(Servicios!$B:$B,MATCH($D46,Servicios!$A:$A,0)),"")</f>
        <v>Matización / toner</v>
      </c>
      <c r="F46" s="146" t="s">
        <v>223</v>
      </c>
      <c r="G46" s="146" t="s">
        <v>41</v>
      </c>
      <c r="H46" s="230">
        <f>IFERROR(INDEX(Servicios!$D:$D,MATCH($D46,Servicios!$A:$A,0)),0)</f>
        <v>45</v>
      </c>
      <c r="I46" s="226">
        <f>IFERROR(INDEX(Servicios!$E:$E,MATCH($D46,Servicios!$A:$A,0)),0)</f>
        <v>68000</v>
      </c>
      <c r="J46" s="156"/>
      <c r="K46" s="226">
        <f t="shared" si="1"/>
        <v>68000</v>
      </c>
      <c r="L46" s="226">
        <f>IFERROR(K46*IFERROR(INDEX(Servicios!$G:$G,MATCH($D46,Servicios!$A:$A,0)),0),0)</f>
        <v>22440</v>
      </c>
      <c r="M46" s="226">
        <f>IFERROR(K46-L46-IFERROR(INDEX(Servicios!$F:$F,MATCH($D46,Servicios!$A:$A,0)),0),0)</f>
        <v>41876</v>
      </c>
    </row>
    <row r="47" spans="1:13" ht="15" customHeight="1" x14ac:dyDescent="0.3">
      <c r="A47" s="164">
        <v>46212</v>
      </c>
      <c r="B47" s="231" t="str">
        <f t="shared" si="0"/>
        <v>jue</v>
      </c>
      <c r="C47" s="146" t="s">
        <v>116</v>
      </c>
      <c r="D47" s="146" t="s">
        <v>161</v>
      </c>
      <c r="E47" s="231" t="str">
        <f>IFERROR(INDEX(Servicios!$B:$B,MATCH($D47,Servicios!$A:$A,0)),"")</f>
        <v>Manicure semipermanente</v>
      </c>
      <c r="F47" s="146" t="s">
        <v>230</v>
      </c>
      <c r="G47" s="146" t="s">
        <v>45</v>
      </c>
      <c r="H47" s="230">
        <f>IFERROR(INDEX(Servicios!$D:$D,MATCH($D47,Servicios!$A:$A,0)),0)</f>
        <v>60</v>
      </c>
      <c r="I47" s="226">
        <f>IFERROR(INDEX(Servicios!$E:$E,MATCH($D47,Servicios!$A:$A,0)),0)</f>
        <v>55000</v>
      </c>
      <c r="J47" s="156"/>
      <c r="K47" s="226">
        <f t="shared" si="1"/>
        <v>55000</v>
      </c>
      <c r="L47" s="226">
        <f>IFERROR(K47*IFERROR(INDEX(Servicios!$G:$G,MATCH($D47,Servicios!$A:$A,0)),0),0)</f>
        <v>15400.000000000002</v>
      </c>
      <c r="M47" s="226">
        <f>IFERROR(K47-L47-IFERROR(INDEX(Servicios!$F:$F,MATCH($D47,Servicios!$A:$A,0)),0),0)</f>
        <v>31460</v>
      </c>
    </row>
    <row r="48" spans="1:13" ht="15" customHeight="1" x14ac:dyDescent="0.3">
      <c r="A48" s="164">
        <v>46212</v>
      </c>
      <c r="B48" s="231" t="str">
        <f t="shared" si="0"/>
        <v>jue</v>
      </c>
      <c r="C48" s="146" t="s">
        <v>98</v>
      </c>
      <c r="D48" s="146" t="s">
        <v>167</v>
      </c>
      <c r="E48" s="231" t="str">
        <f>IFERROR(INDEX(Servicios!$B:$B,MATCH($D48,Servicios!$A:$A,0)),"")</f>
        <v>Peinado para evento</v>
      </c>
      <c r="F48" s="146" t="s">
        <v>241</v>
      </c>
      <c r="G48" s="146" t="s">
        <v>43</v>
      </c>
      <c r="H48" s="230">
        <f>IFERROR(INDEX(Servicios!$D:$D,MATCH($D48,Servicios!$A:$A,0)),0)</f>
        <v>60</v>
      </c>
      <c r="I48" s="226">
        <f>IFERROR(INDEX(Servicios!$E:$E,MATCH($D48,Servicios!$A:$A,0)),0)</f>
        <v>85000</v>
      </c>
      <c r="J48" s="156"/>
      <c r="K48" s="226">
        <f t="shared" si="1"/>
        <v>85000</v>
      </c>
      <c r="L48" s="226">
        <f>IFERROR(K48*IFERROR(INDEX(Servicios!$G:$G,MATCH($D48,Servicios!$A:$A,0)),0),0)</f>
        <v>27200</v>
      </c>
      <c r="M48" s="226">
        <f>IFERROR(K48-L48-IFERROR(INDEX(Servicios!$F:$F,MATCH($D48,Servicios!$A:$A,0)),0),0)</f>
        <v>57800</v>
      </c>
    </row>
    <row r="49" spans="1:13" ht="15" customHeight="1" x14ac:dyDescent="0.3">
      <c r="A49" s="164">
        <v>46212</v>
      </c>
      <c r="B49" s="231" t="str">
        <f t="shared" si="0"/>
        <v>jue</v>
      </c>
      <c r="C49" s="146" t="s">
        <v>110</v>
      </c>
      <c r="D49" s="146" t="s">
        <v>167</v>
      </c>
      <c r="E49" s="231" t="str">
        <f>IFERROR(INDEX(Servicios!$B:$B,MATCH($D49,Servicios!$A:$A,0)),"")</f>
        <v>Peinado para evento</v>
      </c>
      <c r="F49" s="146" t="s">
        <v>232</v>
      </c>
      <c r="G49" s="146" t="s">
        <v>45</v>
      </c>
      <c r="H49" s="230">
        <f>IFERROR(INDEX(Servicios!$D:$D,MATCH($D49,Servicios!$A:$A,0)),0)</f>
        <v>60</v>
      </c>
      <c r="I49" s="226">
        <f>IFERROR(INDEX(Servicios!$E:$E,MATCH($D49,Servicios!$A:$A,0)),0)</f>
        <v>85000</v>
      </c>
      <c r="J49" s="156"/>
      <c r="K49" s="226">
        <f t="shared" si="1"/>
        <v>85000</v>
      </c>
      <c r="L49" s="226">
        <f>IFERROR(K49*IFERROR(INDEX(Servicios!$G:$G,MATCH($D49,Servicios!$A:$A,0)),0),0)</f>
        <v>27200</v>
      </c>
      <c r="M49" s="226">
        <f>IFERROR(K49-L49-IFERROR(INDEX(Servicios!$F:$F,MATCH($D49,Servicios!$A:$A,0)),0),0)</f>
        <v>57800</v>
      </c>
    </row>
    <row r="50" spans="1:13" ht="15" customHeight="1" x14ac:dyDescent="0.3">
      <c r="A50" s="164">
        <v>46213</v>
      </c>
      <c r="B50" s="231" t="str">
        <f t="shared" si="0"/>
        <v>vie</v>
      </c>
      <c r="C50" s="146" t="s">
        <v>110</v>
      </c>
      <c r="D50" s="146" t="s">
        <v>146</v>
      </c>
      <c r="E50" s="231" t="str">
        <f>IFERROR(INDEX(Servicios!$B:$B,MATCH($D50,Servicios!$A:$A,0)),"")</f>
        <v>Corte niño</v>
      </c>
      <c r="F50" s="146" t="s">
        <v>258</v>
      </c>
      <c r="G50" s="146" t="s">
        <v>43</v>
      </c>
      <c r="H50" s="230">
        <f>IFERROR(INDEX(Servicios!$D:$D,MATCH($D50,Servicios!$A:$A,0)),0)</f>
        <v>25</v>
      </c>
      <c r="I50" s="226">
        <f>IFERROR(INDEX(Servicios!$E:$E,MATCH($D50,Servicios!$A:$A,0)),0)</f>
        <v>22000</v>
      </c>
      <c r="J50" s="156"/>
      <c r="K50" s="226">
        <f t="shared" si="1"/>
        <v>22000</v>
      </c>
      <c r="L50" s="226">
        <f>IFERROR(K50*IFERROR(INDEX(Servicios!$G:$G,MATCH($D50,Servicios!$A:$A,0)),0),0)</f>
        <v>6160.0000000000009</v>
      </c>
      <c r="M50" s="226">
        <f>IFERROR(K50-L50-IFERROR(INDEX(Servicios!$F:$F,MATCH($D50,Servicios!$A:$A,0)),0),0)</f>
        <v>15840</v>
      </c>
    </row>
    <row r="51" spans="1:13" ht="15" customHeight="1" x14ac:dyDescent="0.3">
      <c r="A51" s="164">
        <v>46213</v>
      </c>
      <c r="B51" s="231" t="str">
        <f t="shared" si="0"/>
        <v>vie</v>
      </c>
      <c r="C51" s="146" t="s">
        <v>113</v>
      </c>
      <c r="D51" s="146" t="s">
        <v>148</v>
      </c>
      <c r="E51" s="231" t="str">
        <f>IFERROR(INDEX(Servicios!$B:$B,MATCH($D51,Servicios!$A:$A,0)),"")</f>
        <v>Barba y perfilado</v>
      </c>
      <c r="F51" s="146" t="s">
        <v>259</v>
      </c>
      <c r="G51" s="146" t="s">
        <v>236</v>
      </c>
      <c r="H51" s="230">
        <f>IFERROR(INDEX(Servicios!$D:$D,MATCH($D51,Servicios!$A:$A,0)),0)</f>
        <v>25</v>
      </c>
      <c r="I51" s="226">
        <f>IFERROR(INDEX(Servicios!$E:$E,MATCH($D51,Servicios!$A:$A,0)),0)</f>
        <v>20000</v>
      </c>
      <c r="J51" s="156"/>
      <c r="K51" s="226">
        <f t="shared" si="1"/>
        <v>20000</v>
      </c>
      <c r="L51" s="226">
        <f>IFERROR(K51*IFERROR(INDEX(Servicios!$G:$G,MATCH($D51,Servicios!$A:$A,0)),0),0)</f>
        <v>6400</v>
      </c>
      <c r="M51" s="226">
        <f>IFERROR(K51-L51-IFERROR(INDEX(Servicios!$F:$F,MATCH($D51,Servicios!$A:$A,0)),0),0)</f>
        <v>13600</v>
      </c>
    </row>
    <row r="52" spans="1:13" ht="15" customHeight="1" x14ac:dyDescent="0.3">
      <c r="A52" s="164">
        <v>46213</v>
      </c>
      <c r="B52" s="231" t="str">
        <f t="shared" si="0"/>
        <v>vie</v>
      </c>
      <c r="C52" s="146" t="s">
        <v>110</v>
      </c>
      <c r="D52" s="146" t="s">
        <v>157</v>
      </c>
      <c r="E52" s="231" t="str">
        <f>IFERROR(INDEX(Servicios!$B:$B,MATCH($D52,Servicios!$A:$A,0)),"")</f>
        <v>Hidratación profunda</v>
      </c>
      <c r="F52" s="146" t="s">
        <v>260</v>
      </c>
      <c r="G52" s="146" t="s">
        <v>43</v>
      </c>
      <c r="H52" s="230">
        <f>IFERROR(INDEX(Servicios!$D:$D,MATCH($D52,Servicios!$A:$A,0)),0)</f>
        <v>45</v>
      </c>
      <c r="I52" s="226">
        <f>IFERROR(INDEX(Servicios!$E:$E,MATCH($D52,Servicios!$A:$A,0)),0)</f>
        <v>65000</v>
      </c>
      <c r="J52" s="156"/>
      <c r="K52" s="226">
        <f t="shared" si="1"/>
        <v>65000</v>
      </c>
      <c r="L52" s="226">
        <f>IFERROR(K52*IFERROR(INDEX(Servicios!$G:$G,MATCH($D52,Servicios!$A:$A,0)),0),0)</f>
        <v>19500</v>
      </c>
      <c r="M52" s="226">
        <f>IFERROR(K52-L52-IFERROR(INDEX(Servicios!$F:$F,MATCH($D52,Servicios!$A:$A,0)),0),0)</f>
        <v>39900</v>
      </c>
    </row>
    <row r="53" spans="1:13" ht="15" customHeight="1" x14ac:dyDescent="0.3">
      <c r="A53" s="164">
        <v>46213</v>
      </c>
      <c r="B53" s="231" t="str">
        <f t="shared" si="0"/>
        <v>vie</v>
      </c>
      <c r="C53" s="146" t="s">
        <v>110</v>
      </c>
      <c r="D53" s="146" t="s">
        <v>169</v>
      </c>
      <c r="E53" s="231" t="str">
        <f>IFERROR(INDEX(Servicios!$B:$B,MATCH($D53,Servicios!$A:$A,0)),"")</f>
        <v>Depilación de cejas</v>
      </c>
      <c r="F53" s="146" t="s">
        <v>227</v>
      </c>
      <c r="G53" s="146" t="s">
        <v>41</v>
      </c>
      <c r="H53" s="230">
        <f>IFERROR(INDEX(Servicios!$D:$D,MATCH($D53,Servicios!$A:$A,0)),0)</f>
        <v>20</v>
      </c>
      <c r="I53" s="226">
        <f>IFERROR(INDEX(Servicios!$E:$E,MATCH($D53,Servicios!$A:$A,0)),0)</f>
        <v>18000</v>
      </c>
      <c r="J53" s="156"/>
      <c r="K53" s="226">
        <f t="shared" si="1"/>
        <v>18000</v>
      </c>
      <c r="L53" s="226">
        <f>IFERROR(K53*IFERROR(INDEX(Servicios!$G:$G,MATCH($D53,Servicios!$A:$A,0)),0),0)</f>
        <v>4500</v>
      </c>
      <c r="M53" s="226">
        <f>IFERROR(K53-L53-IFERROR(INDEX(Servicios!$F:$F,MATCH($D53,Servicios!$A:$A,0)),0),0)</f>
        <v>11875</v>
      </c>
    </row>
    <row r="54" spans="1:13" ht="15" customHeight="1" x14ac:dyDescent="0.3">
      <c r="A54" s="164">
        <v>46214</v>
      </c>
      <c r="B54" s="231" t="str">
        <f t="shared" si="0"/>
        <v>sáb</v>
      </c>
      <c r="C54" s="146" t="s">
        <v>113</v>
      </c>
      <c r="D54" s="146" t="s">
        <v>146</v>
      </c>
      <c r="E54" s="231" t="str">
        <f>IFERROR(INDEX(Servicios!$B:$B,MATCH($D54,Servicios!$A:$A,0)),"")</f>
        <v>Corte niño</v>
      </c>
      <c r="F54" s="146" t="s">
        <v>242</v>
      </c>
      <c r="G54" s="146" t="s">
        <v>43</v>
      </c>
      <c r="H54" s="230">
        <f>IFERROR(INDEX(Servicios!$D:$D,MATCH($D54,Servicios!$A:$A,0)),0)</f>
        <v>25</v>
      </c>
      <c r="I54" s="226">
        <f>IFERROR(INDEX(Servicios!$E:$E,MATCH($D54,Servicios!$A:$A,0)),0)</f>
        <v>22000</v>
      </c>
      <c r="J54" s="156"/>
      <c r="K54" s="226">
        <f t="shared" si="1"/>
        <v>22000</v>
      </c>
      <c r="L54" s="226">
        <f>IFERROR(K54*IFERROR(INDEX(Servicios!$G:$G,MATCH($D54,Servicios!$A:$A,0)),0),0)</f>
        <v>6160.0000000000009</v>
      </c>
      <c r="M54" s="226">
        <f>IFERROR(K54-L54-IFERROR(INDEX(Servicios!$F:$F,MATCH($D54,Servicios!$A:$A,0)),0),0)</f>
        <v>15840</v>
      </c>
    </row>
    <row r="55" spans="1:13" ht="15" customHeight="1" x14ac:dyDescent="0.3">
      <c r="A55" s="164">
        <v>46214</v>
      </c>
      <c r="B55" s="231" t="str">
        <f t="shared" si="0"/>
        <v>sáb</v>
      </c>
      <c r="C55" s="146" t="s">
        <v>110</v>
      </c>
      <c r="D55" s="146" t="s">
        <v>146</v>
      </c>
      <c r="E55" s="231" t="str">
        <f>IFERROR(INDEX(Servicios!$B:$B,MATCH($D55,Servicios!$A:$A,0)),"")</f>
        <v>Corte niño</v>
      </c>
      <c r="F55" s="146" t="s">
        <v>238</v>
      </c>
      <c r="G55" s="146" t="s">
        <v>236</v>
      </c>
      <c r="H55" s="230">
        <f>IFERROR(INDEX(Servicios!$D:$D,MATCH($D55,Servicios!$A:$A,0)),0)</f>
        <v>25</v>
      </c>
      <c r="I55" s="226">
        <f>IFERROR(INDEX(Servicios!$E:$E,MATCH($D55,Servicios!$A:$A,0)),0)</f>
        <v>22000</v>
      </c>
      <c r="J55" s="156"/>
      <c r="K55" s="226">
        <f t="shared" si="1"/>
        <v>22000</v>
      </c>
      <c r="L55" s="226">
        <f>IFERROR(K55*IFERROR(INDEX(Servicios!$G:$G,MATCH($D55,Servicios!$A:$A,0)),0),0)</f>
        <v>6160.0000000000009</v>
      </c>
      <c r="M55" s="226">
        <f>IFERROR(K55-L55-IFERROR(INDEX(Servicios!$F:$F,MATCH($D55,Servicios!$A:$A,0)),0),0)</f>
        <v>15840</v>
      </c>
    </row>
    <row r="56" spans="1:13" ht="15" customHeight="1" x14ac:dyDescent="0.3">
      <c r="A56" s="164">
        <v>46214</v>
      </c>
      <c r="B56" s="231" t="str">
        <f t="shared" si="0"/>
        <v>sáb</v>
      </c>
      <c r="C56" s="146" t="s">
        <v>113</v>
      </c>
      <c r="D56" s="146" t="s">
        <v>148</v>
      </c>
      <c r="E56" s="231" t="str">
        <f>IFERROR(INDEX(Servicios!$B:$B,MATCH($D56,Servicios!$A:$A,0)),"")</f>
        <v>Barba y perfilado</v>
      </c>
      <c r="F56" s="146" t="s">
        <v>261</v>
      </c>
      <c r="G56" s="146" t="s">
        <v>43</v>
      </c>
      <c r="H56" s="230">
        <f>IFERROR(INDEX(Servicios!$D:$D,MATCH($D56,Servicios!$A:$A,0)),0)</f>
        <v>25</v>
      </c>
      <c r="I56" s="226">
        <f>IFERROR(INDEX(Servicios!$E:$E,MATCH($D56,Servicios!$A:$A,0)),0)</f>
        <v>20000</v>
      </c>
      <c r="J56" s="156"/>
      <c r="K56" s="226">
        <f t="shared" si="1"/>
        <v>20000</v>
      </c>
      <c r="L56" s="226">
        <f>IFERROR(K56*IFERROR(INDEX(Servicios!$G:$G,MATCH($D56,Servicios!$A:$A,0)),0),0)</f>
        <v>6400</v>
      </c>
      <c r="M56" s="226">
        <f>IFERROR(K56-L56-IFERROR(INDEX(Servicios!$F:$F,MATCH($D56,Servicios!$A:$A,0)),0),0)</f>
        <v>13600</v>
      </c>
    </row>
    <row r="57" spans="1:13" ht="15" customHeight="1" x14ac:dyDescent="0.3">
      <c r="A57" s="164">
        <v>46214</v>
      </c>
      <c r="B57" s="231" t="str">
        <f t="shared" si="0"/>
        <v>sáb</v>
      </c>
      <c r="C57" s="146" t="s">
        <v>104</v>
      </c>
      <c r="D57" s="146" t="s">
        <v>153</v>
      </c>
      <c r="E57" s="231" t="str">
        <f>IFERROR(INDEX(Servicios!$B:$B,MATCH($D57,Servicios!$A:$A,0)),"")</f>
        <v>Retoque de color</v>
      </c>
      <c r="F57" s="146" t="s">
        <v>262</v>
      </c>
      <c r="G57" s="146" t="s">
        <v>43</v>
      </c>
      <c r="H57" s="230">
        <f>IFERROR(INDEX(Servicios!$D:$D,MATCH($D57,Servicios!$A:$A,0)),0)</f>
        <v>60</v>
      </c>
      <c r="I57" s="226">
        <f>IFERROR(INDEX(Servicios!$E:$E,MATCH($D57,Servicios!$A:$A,0)),0)</f>
        <v>75000</v>
      </c>
      <c r="J57" s="156"/>
      <c r="K57" s="226">
        <f t="shared" si="1"/>
        <v>75000</v>
      </c>
      <c r="L57" s="226">
        <f>IFERROR(K57*IFERROR(INDEX(Servicios!$G:$G,MATCH($D57,Servicios!$A:$A,0)),0),0)</f>
        <v>24750</v>
      </c>
      <c r="M57" s="226">
        <f>IFERROR(K57-L57-IFERROR(INDEX(Servicios!$F:$F,MATCH($D57,Servicios!$A:$A,0)),0),0)</f>
        <v>46454</v>
      </c>
    </row>
    <row r="58" spans="1:13" ht="15" customHeight="1" x14ac:dyDescent="0.3">
      <c r="A58" s="164">
        <v>46214</v>
      </c>
      <c r="B58" s="231" t="str">
        <f t="shared" si="0"/>
        <v>sáb</v>
      </c>
      <c r="C58" s="146" t="s">
        <v>98</v>
      </c>
      <c r="D58" s="146" t="s">
        <v>153</v>
      </c>
      <c r="E58" s="231" t="str">
        <f>IFERROR(INDEX(Servicios!$B:$B,MATCH($D58,Servicios!$A:$A,0)),"")</f>
        <v>Retoque de color</v>
      </c>
      <c r="F58" s="146" t="s">
        <v>223</v>
      </c>
      <c r="G58" s="146" t="s">
        <v>236</v>
      </c>
      <c r="H58" s="230">
        <f>IFERROR(INDEX(Servicios!$D:$D,MATCH($D58,Servicios!$A:$A,0)),0)</f>
        <v>60</v>
      </c>
      <c r="I58" s="226">
        <f>IFERROR(INDEX(Servicios!$E:$E,MATCH($D58,Servicios!$A:$A,0)),0)</f>
        <v>75000</v>
      </c>
      <c r="J58" s="156"/>
      <c r="K58" s="226">
        <f t="shared" si="1"/>
        <v>75000</v>
      </c>
      <c r="L58" s="226">
        <f>IFERROR(K58*IFERROR(INDEX(Servicios!$G:$G,MATCH($D58,Servicios!$A:$A,0)),0),0)</f>
        <v>24750</v>
      </c>
      <c r="M58" s="226">
        <f>IFERROR(K58-L58-IFERROR(INDEX(Servicios!$F:$F,MATCH($D58,Servicios!$A:$A,0)),0),0)</f>
        <v>46454</v>
      </c>
    </row>
    <row r="59" spans="1:13" ht="15" customHeight="1" x14ac:dyDescent="0.3">
      <c r="A59" s="164">
        <v>46214</v>
      </c>
      <c r="B59" s="231" t="str">
        <f t="shared" si="0"/>
        <v>sáb</v>
      </c>
      <c r="C59" s="146" t="s">
        <v>98</v>
      </c>
      <c r="D59" s="146" t="s">
        <v>153</v>
      </c>
      <c r="E59" s="231" t="str">
        <f>IFERROR(INDEX(Servicios!$B:$B,MATCH($D59,Servicios!$A:$A,0)),"")</f>
        <v>Retoque de color</v>
      </c>
      <c r="F59" s="146" t="s">
        <v>249</v>
      </c>
      <c r="G59" s="146" t="s">
        <v>41</v>
      </c>
      <c r="H59" s="230">
        <f>IFERROR(INDEX(Servicios!$D:$D,MATCH($D59,Servicios!$A:$A,0)),0)</f>
        <v>60</v>
      </c>
      <c r="I59" s="226">
        <f>IFERROR(INDEX(Servicios!$E:$E,MATCH($D59,Servicios!$A:$A,0)),0)</f>
        <v>75000</v>
      </c>
      <c r="J59" s="156"/>
      <c r="K59" s="226">
        <f t="shared" si="1"/>
        <v>75000</v>
      </c>
      <c r="L59" s="226">
        <f>IFERROR(K59*IFERROR(INDEX(Servicios!$G:$G,MATCH($D59,Servicios!$A:$A,0)),0),0)</f>
        <v>24750</v>
      </c>
      <c r="M59" s="226">
        <f>IFERROR(K59-L59-IFERROR(INDEX(Servicios!$F:$F,MATCH($D59,Servicios!$A:$A,0)),0),0)</f>
        <v>46454</v>
      </c>
    </row>
    <row r="60" spans="1:13" ht="15" customHeight="1" x14ac:dyDescent="0.3">
      <c r="A60" s="164">
        <v>46214</v>
      </c>
      <c r="B60" s="231" t="str">
        <f t="shared" si="0"/>
        <v>sáb</v>
      </c>
      <c r="C60" s="146" t="s">
        <v>116</v>
      </c>
      <c r="D60" s="146" t="s">
        <v>163</v>
      </c>
      <c r="E60" s="231" t="str">
        <f>IFERROR(INDEX(Servicios!$B:$B,MATCH($D60,Servicios!$A:$A,0)),"")</f>
        <v>Pedicure spa</v>
      </c>
      <c r="F60" s="146" t="s">
        <v>250</v>
      </c>
      <c r="G60" s="146" t="s">
        <v>41</v>
      </c>
      <c r="H60" s="230">
        <f>IFERROR(INDEX(Servicios!$D:$D,MATCH($D60,Servicios!$A:$A,0)),0)</f>
        <v>70</v>
      </c>
      <c r="I60" s="226">
        <f>IFERROR(INDEX(Servicios!$E:$E,MATCH($D60,Servicios!$A:$A,0)),0)</f>
        <v>62000</v>
      </c>
      <c r="J60" s="156"/>
      <c r="K60" s="226">
        <f t="shared" si="1"/>
        <v>62000</v>
      </c>
      <c r="L60" s="226">
        <f>IFERROR(K60*IFERROR(INDEX(Servicios!$G:$G,MATCH($D60,Servicios!$A:$A,0)),0),0)</f>
        <v>17360</v>
      </c>
      <c r="M60" s="226">
        <f>IFERROR(K60-L60-IFERROR(INDEX(Servicios!$F:$F,MATCH($D60,Servicios!$A:$A,0)),0),0)</f>
        <v>38265</v>
      </c>
    </row>
    <row r="61" spans="1:13" ht="15" customHeight="1" x14ac:dyDescent="0.3">
      <c r="A61" s="164">
        <v>46214</v>
      </c>
      <c r="B61" s="231" t="str">
        <f t="shared" si="0"/>
        <v>sáb</v>
      </c>
      <c r="C61" s="146" t="s">
        <v>110</v>
      </c>
      <c r="D61" s="146" t="s">
        <v>165</v>
      </c>
      <c r="E61" s="231" t="str">
        <f>IFERROR(INDEX(Servicios!$B:$B,MATCH($D61,Servicios!$A:$A,0)),"")</f>
        <v>Diseño de uñas</v>
      </c>
      <c r="F61" s="146" t="s">
        <v>260</v>
      </c>
      <c r="G61" s="146" t="s">
        <v>41</v>
      </c>
      <c r="H61" s="230">
        <f>IFERROR(INDEX(Servicios!$D:$D,MATCH($D61,Servicios!$A:$A,0)),0)</f>
        <v>35</v>
      </c>
      <c r="I61" s="226">
        <f>IFERROR(INDEX(Servicios!$E:$E,MATCH($D61,Servicios!$A:$A,0)),0)</f>
        <v>28000</v>
      </c>
      <c r="J61" s="156"/>
      <c r="K61" s="226">
        <f t="shared" si="1"/>
        <v>28000</v>
      </c>
      <c r="L61" s="226">
        <f>IFERROR(K61*IFERROR(INDEX(Servicios!$G:$G,MATCH($D61,Servicios!$A:$A,0)),0),0)</f>
        <v>7840.0000000000009</v>
      </c>
      <c r="M61" s="226">
        <f>IFERROR(K61-L61-IFERROR(INDEX(Servicios!$F:$F,MATCH($D61,Servicios!$A:$A,0)),0),0)</f>
        <v>16360</v>
      </c>
    </row>
    <row r="62" spans="1:13" ht="15" customHeight="1" x14ac:dyDescent="0.3">
      <c r="A62" s="164">
        <v>46215</v>
      </c>
      <c r="B62" s="231" t="str">
        <f t="shared" si="0"/>
        <v>dom</v>
      </c>
      <c r="C62" s="146" t="s">
        <v>113</v>
      </c>
      <c r="D62" s="146" t="s">
        <v>146</v>
      </c>
      <c r="E62" s="231" t="str">
        <f>IFERROR(INDEX(Servicios!$B:$B,MATCH($D62,Servicios!$A:$A,0)),"")</f>
        <v>Corte niño</v>
      </c>
      <c r="F62" s="146" t="s">
        <v>237</v>
      </c>
      <c r="G62" s="146" t="s">
        <v>236</v>
      </c>
      <c r="H62" s="230">
        <f>IFERROR(INDEX(Servicios!$D:$D,MATCH($D62,Servicios!$A:$A,0)),0)</f>
        <v>25</v>
      </c>
      <c r="I62" s="226">
        <f>IFERROR(INDEX(Servicios!$E:$E,MATCH($D62,Servicios!$A:$A,0)),0)</f>
        <v>22000</v>
      </c>
      <c r="J62" s="156"/>
      <c r="K62" s="226">
        <f t="shared" si="1"/>
        <v>22000</v>
      </c>
      <c r="L62" s="226">
        <f>IFERROR(K62*IFERROR(INDEX(Servicios!$G:$G,MATCH($D62,Servicios!$A:$A,0)),0),0)</f>
        <v>6160.0000000000009</v>
      </c>
      <c r="M62" s="226">
        <f>IFERROR(K62-L62-IFERROR(INDEX(Servicios!$F:$F,MATCH($D62,Servicios!$A:$A,0)),0),0)</f>
        <v>15840</v>
      </c>
    </row>
    <row r="63" spans="1:13" ht="15" customHeight="1" x14ac:dyDescent="0.3">
      <c r="A63" s="164">
        <v>46215</v>
      </c>
      <c r="B63" s="231" t="str">
        <f t="shared" si="0"/>
        <v>dom</v>
      </c>
      <c r="C63" s="146" t="s">
        <v>116</v>
      </c>
      <c r="D63" s="146" t="s">
        <v>161</v>
      </c>
      <c r="E63" s="231" t="str">
        <f>IFERROR(INDEX(Servicios!$B:$B,MATCH($D63,Servicios!$A:$A,0)),"")</f>
        <v>Manicure semipermanente</v>
      </c>
      <c r="F63" s="146" t="s">
        <v>242</v>
      </c>
      <c r="G63" s="146" t="s">
        <v>41</v>
      </c>
      <c r="H63" s="230">
        <f>IFERROR(INDEX(Servicios!$D:$D,MATCH($D63,Servicios!$A:$A,0)),0)</f>
        <v>60</v>
      </c>
      <c r="I63" s="226">
        <f>IFERROR(INDEX(Servicios!$E:$E,MATCH($D63,Servicios!$A:$A,0)),0)</f>
        <v>55000</v>
      </c>
      <c r="J63" s="156"/>
      <c r="K63" s="226">
        <f t="shared" si="1"/>
        <v>55000</v>
      </c>
      <c r="L63" s="226">
        <f>IFERROR(K63*IFERROR(INDEX(Servicios!$G:$G,MATCH($D63,Servicios!$A:$A,0)),0),0)</f>
        <v>15400.000000000002</v>
      </c>
      <c r="M63" s="226">
        <f>IFERROR(K63-L63-IFERROR(INDEX(Servicios!$F:$F,MATCH($D63,Servicios!$A:$A,0)),0),0)</f>
        <v>31460</v>
      </c>
    </row>
    <row r="64" spans="1:13" ht="15" customHeight="1" x14ac:dyDescent="0.3">
      <c r="A64" s="164">
        <v>46215</v>
      </c>
      <c r="B64" s="231" t="str">
        <f t="shared" si="0"/>
        <v>dom</v>
      </c>
      <c r="C64" s="146" t="s">
        <v>116</v>
      </c>
      <c r="D64" s="146" t="s">
        <v>161</v>
      </c>
      <c r="E64" s="231" t="str">
        <f>IFERROR(INDEX(Servicios!$B:$B,MATCH($D64,Servicios!$A:$A,0)),"")</f>
        <v>Manicure semipermanente</v>
      </c>
      <c r="F64" s="146" t="s">
        <v>263</v>
      </c>
      <c r="G64" s="146" t="s">
        <v>41</v>
      </c>
      <c r="H64" s="230">
        <f>IFERROR(INDEX(Servicios!$D:$D,MATCH($D64,Servicios!$A:$A,0)),0)</f>
        <v>60</v>
      </c>
      <c r="I64" s="226">
        <f>IFERROR(INDEX(Servicios!$E:$E,MATCH($D64,Servicios!$A:$A,0)),0)</f>
        <v>55000</v>
      </c>
      <c r="J64" s="156"/>
      <c r="K64" s="226">
        <f t="shared" si="1"/>
        <v>55000</v>
      </c>
      <c r="L64" s="226">
        <f>IFERROR(K64*IFERROR(INDEX(Servicios!$G:$G,MATCH($D64,Servicios!$A:$A,0)),0),0)</f>
        <v>15400.000000000002</v>
      </c>
      <c r="M64" s="226">
        <f>IFERROR(K64-L64-IFERROR(INDEX(Servicios!$F:$F,MATCH($D64,Servicios!$A:$A,0)),0),0)</f>
        <v>31460</v>
      </c>
    </row>
    <row r="65" spans="1:13" ht="15" customHeight="1" x14ac:dyDescent="0.3">
      <c r="A65" s="164">
        <v>46215</v>
      </c>
      <c r="B65" s="231" t="str">
        <f t="shared" si="0"/>
        <v>dom</v>
      </c>
      <c r="C65" s="146" t="s">
        <v>116</v>
      </c>
      <c r="D65" s="146" t="s">
        <v>161</v>
      </c>
      <c r="E65" s="231" t="str">
        <f>IFERROR(INDEX(Servicios!$B:$B,MATCH($D65,Servicios!$A:$A,0)),"")</f>
        <v>Manicure semipermanente</v>
      </c>
      <c r="F65" s="146" t="s">
        <v>264</v>
      </c>
      <c r="G65" s="146" t="s">
        <v>43</v>
      </c>
      <c r="H65" s="230">
        <f>IFERROR(INDEX(Servicios!$D:$D,MATCH($D65,Servicios!$A:$A,0)),0)</f>
        <v>60</v>
      </c>
      <c r="I65" s="226">
        <f>IFERROR(INDEX(Servicios!$E:$E,MATCH($D65,Servicios!$A:$A,0)),0)</f>
        <v>55000</v>
      </c>
      <c r="J65" s="156"/>
      <c r="K65" s="226">
        <f t="shared" si="1"/>
        <v>55000</v>
      </c>
      <c r="L65" s="226">
        <f>IFERROR(K65*IFERROR(INDEX(Servicios!$G:$G,MATCH($D65,Servicios!$A:$A,0)),0),0)</f>
        <v>15400.000000000002</v>
      </c>
      <c r="M65" s="226">
        <f>IFERROR(K65-L65-IFERROR(INDEX(Servicios!$F:$F,MATCH($D65,Servicios!$A:$A,0)),0),0)</f>
        <v>31460</v>
      </c>
    </row>
    <row r="66" spans="1:13" ht="15" customHeight="1" x14ac:dyDescent="0.3">
      <c r="A66" s="164">
        <v>46217</v>
      </c>
      <c r="B66" s="231" t="str">
        <f t="shared" si="0"/>
        <v>mar</v>
      </c>
      <c r="C66" s="146" t="s">
        <v>113</v>
      </c>
      <c r="D66" s="146" t="s">
        <v>148</v>
      </c>
      <c r="E66" s="231" t="str">
        <f>IFERROR(INDEX(Servicios!$B:$B,MATCH($D66,Servicios!$A:$A,0)),"")</f>
        <v>Barba y perfilado</v>
      </c>
      <c r="F66" s="146" t="s">
        <v>249</v>
      </c>
      <c r="G66" s="146" t="s">
        <v>41</v>
      </c>
      <c r="H66" s="230">
        <f>IFERROR(INDEX(Servicios!$D:$D,MATCH($D66,Servicios!$A:$A,0)),0)</f>
        <v>25</v>
      </c>
      <c r="I66" s="226">
        <f>IFERROR(INDEX(Servicios!$E:$E,MATCH($D66,Servicios!$A:$A,0)),0)</f>
        <v>20000</v>
      </c>
      <c r="J66" s="156"/>
      <c r="K66" s="226">
        <f t="shared" si="1"/>
        <v>20000</v>
      </c>
      <c r="L66" s="226">
        <f>IFERROR(K66*IFERROR(INDEX(Servicios!$G:$G,MATCH($D66,Servicios!$A:$A,0)),0),0)</f>
        <v>6400</v>
      </c>
      <c r="M66" s="226">
        <f>IFERROR(K66-L66-IFERROR(INDEX(Servicios!$F:$F,MATCH($D66,Servicios!$A:$A,0)),0),0)</f>
        <v>13600</v>
      </c>
    </row>
    <row r="67" spans="1:13" ht="15" customHeight="1" x14ac:dyDescent="0.3">
      <c r="A67" s="164">
        <v>46217</v>
      </c>
      <c r="B67" s="231" t="str">
        <f t="shared" si="0"/>
        <v>mar</v>
      </c>
      <c r="C67" s="146" t="s">
        <v>113</v>
      </c>
      <c r="D67" s="146" t="s">
        <v>148</v>
      </c>
      <c r="E67" s="231" t="str">
        <f>IFERROR(INDEX(Servicios!$B:$B,MATCH($D67,Servicios!$A:$A,0)),"")</f>
        <v>Barba y perfilado</v>
      </c>
      <c r="F67" s="146" t="s">
        <v>240</v>
      </c>
      <c r="G67" s="146" t="s">
        <v>43</v>
      </c>
      <c r="H67" s="230">
        <f>IFERROR(INDEX(Servicios!$D:$D,MATCH($D67,Servicios!$A:$A,0)),0)</f>
        <v>25</v>
      </c>
      <c r="I67" s="226">
        <f>IFERROR(INDEX(Servicios!$E:$E,MATCH($D67,Servicios!$A:$A,0)),0)</f>
        <v>20000</v>
      </c>
      <c r="J67" s="148">
        <v>0.15</v>
      </c>
      <c r="K67" s="226">
        <f t="shared" si="1"/>
        <v>17000</v>
      </c>
      <c r="L67" s="226">
        <f>IFERROR(K67*IFERROR(INDEX(Servicios!$G:$G,MATCH($D67,Servicios!$A:$A,0)),0),0)</f>
        <v>5440</v>
      </c>
      <c r="M67" s="226">
        <f>IFERROR(K67-L67-IFERROR(INDEX(Servicios!$F:$F,MATCH($D67,Servicios!$A:$A,0)),0),0)</f>
        <v>11560</v>
      </c>
    </row>
    <row r="68" spans="1:13" ht="15" customHeight="1" x14ac:dyDescent="0.3">
      <c r="A68" s="164">
        <v>46217</v>
      </c>
      <c r="B68" s="231" t="str">
        <f t="shared" si="0"/>
        <v>mar</v>
      </c>
      <c r="C68" s="146" t="s">
        <v>113</v>
      </c>
      <c r="D68" s="146" t="s">
        <v>151</v>
      </c>
      <c r="E68" s="231" t="str">
        <f>IFERROR(INDEX(Servicios!$B:$B,MATCH($D68,Servicios!$A:$A,0)),"")</f>
        <v>Corte caballero + barba</v>
      </c>
      <c r="F68" s="146" t="s">
        <v>259</v>
      </c>
      <c r="G68" s="146" t="s">
        <v>41</v>
      </c>
      <c r="H68" s="230">
        <f>IFERROR(INDEX(Servicios!$D:$D,MATCH($D68,Servicios!$A:$A,0)),0)</f>
        <v>50</v>
      </c>
      <c r="I68" s="226">
        <f>IFERROR(INDEX(Servicios!$E:$E,MATCH($D68,Servicios!$A:$A,0)),0)</f>
        <v>42000</v>
      </c>
      <c r="J68" s="156"/>
      <c r="K68" s="226">
        <f t="shared" si="1"/>
        <v>42000</v>
      </c>
      <c r="L68" s="226">
        <f>IFERROR(K68*IFERROR(INDEX(Servicios!$G:$G,MATCH($D68,Servicios!$A:$A,0)),0),0)</f>
        <v>13440</v>
      </c>
      <c r="M68" s="226">
        <f>IFERROR(K68-L68-IFERROR(INDEX(Servicios!$F:$F,MATCH($D68,Servicios!$A:$A,0)),0),0)</f>
        <v>28560</v>
      </c>
    </row>
    <row r="69" spans="1:13" ht="15" customHeight="1" x14ac:dyDescent="0.3">
      <c r="A69" s="164">
        <v>46217</v>
      </c>
      <c r="B69" s="231" t="str">
        <f t="shared" ref="B69:B132" si="2">IF($A69="","",CHOOSE(WEEKDAY($A69,2),"lun","mar","mié","jue","vie","sáb","dom"))</f>
        <v>mar</v>
      </c>
      <c r="C69" s="146" t="s">
        <v>113</v>
      </c>
      <c r="D69" s="146" t="s">
        <v>151</v>
      </c>
      <c r="E69" s="231" t="str">
        <f>IFERROR(INDEX(Servicios!$B:$B,MATCH($D69,Servicios!$A:$A,0)),"")</f>
        <v>Corte caballero + barba</v>
      </c>
      <c r="F69" s="146" t="s">
        <v>225</v>
      </c>
      <c r="G69" s="146" t="s">
        <v>43</v>
      </c>
      <c r="H69" s="230">
        <f>IFERROR(INDEX(Servicios!$D:$D,MATCH($D69,Servicios!$A:$A,0)),0)</f>
        <v>50</v>
      </c>
      <c r="I69" s="226">
        <f>IFERROR(INDEX(Servicios!$E:$E,MATCH($D69,Servicios!$A:$A,0)),0)</f>
        <v>42000</v>
      </c>
      <c r="J69" s="156"/>
      <c r="K69" s="226">
        <f t="shared" ref="K69:K132" si="3">IFERROR(I69*(1-N(J69)),0)</f>
        <v>42000</v>
      </c>
      <c r="L69" s="226">
        <f>IFERROR(K69*IFERROR(INDEX(Servicios!$G:$G,MATCH($D69,Servicios!$A:$A,0)),0),0)</f>
        <v>13440</v>
      </c>
      <c r="M69" s="226">
        <f>IFERROR(K69-L69-IFERROR(INDEX(Servicios!$F:$F,MATCH($D69,Servicios!$A:$A,0)),0),0)</f>
        <v>28560</v>
      </c>
    </row>
    <row r="70" spans="1:13" ht="15" customHeight="1" x14ac:dyDescent="0.3">
      <c r="A70" s="164">
        <v>46217</v>
      </c>
      <c r="B70" s="231" t="str">
        <f t="shared" si="2"/>
        <v>mar</v>
      </c>
      <c r="C70" s="146" t="s">
        <v>110</v>
      </c>
      <c r="D70" s="146" t="s">
        <v>153</v>
      </c>
      <c r="E70" s="231" t="str">
        <f>IFERROR(INDEX(Servicios!$B:$B,MATCH($D70,Servicios!$A:$A,0)),"")</f>
        <v>Retoque de color</v>
      </c>
      <c r="F70" s="146" t="s">
        <v>243</v>
      </c>
      <c r="G70" s="146" t="s">
        <v>43</v>
      </c>
      <c r="H70" s="230">
        <f>IFERROR(INDEX(Servicios!$D:$D,MATCH($D70,Servicios!$A:$A,0)),0)</f>
        <v>60</v>
      </c>
      <c r="I70" s="226">
        <f>IFERROR(INDEX(Servicios!$E:$E,MATCH($D70,Servicios!$A:$A,0)),0)</f>
        <v>75000</v>
      </c>
      <c r="J70" s="156"/>
      <c r="K70" s="226">
        <f t="shared" si="3"/>
        <v>75000</v>
      </c>
      <c r="L70" s="226">
        <f>IFERROR(K70*IFERROR(INDEX(Servicios!$G:$G,MATCH($D70,Servicios!$A:$A,0)),0),0)</f>
        <v>24750</v>
      </c>
      <c r="M70" s="226">
        <f>IFERROR(K70-L70-IFERROR(INDEX(Servicios!$F:$F,MATCH($D70,Servicios!$A:$A,0)),0),0)</f>
        <v>46454</v>
      </c>
    </row>
    <row r="71" spans="1:13" ht="15" customHeight="1" x14ac:dyDescent="0.3">
      <c r="A71" s="164">
        <v>46217</v>
      </c>
      <c r="B71" s="231" t="str">
        <f t="shared" si="2"/>
        <v>mar</v>
      </c>
      <c r="C71" s="146" t="s">
        <v>116</v>
      </c>
      <c r="D71" s="146" t="s">
        <v>161</v>
      </c>
      <c r="E71" s="231" t="str">
        <f>IFERROR(INDEX(Servicios!$B:$B,MATCH($D71,Servicios!$A:$A,0)),"")</f>
        <v>Manicure semipermanente</v>
      </c>
      <c r="F71" s="146" t="s">
        <v>265</v>
      </c>
      <c r="G71" s="146" t="s">
        <v>43</v>
      </c>
      <c r="H71" s="230">
        <f>IFERROR(INDEX(Servicios!$D:$D,MATCH($D71,Servicios!$A:$A,0)),0)</f>
        <v>60</v>
      </c>
      <c r="I71" s="226">
        <f>IFERROR(INDEX(Servicios!$E:$E,MATCH($D71,Servicios!$A:$A,0)),0)</f>
        <v>55000</v>
      </c>
      <c r="J71" s="156"/>
      <c r="K71" s="226">
        <f t="shared" si="3"/>
        <v>55000</v>
      </c>
      <c r="L71" s="226">
        <f>IFERROR(K71*IFERROR(INDEX(Servicios!$G:$G,MATCH($D71,Servicios!$A:$A,0)),0),0)</f>
        <v>15400.000000000002</v>
      </c>
      <c r="M71" s="226">
        <f>IFERROR(K71-L71-IFERROR(INDEX(Servicios!$F:$F,MATCH($D71,Servicios!$A:$A,0)),0),0)</f>
        <v>31460</v>
      </c>
    </row>
    <row r="72" spans="1:13" ht="15" customHeight="1" x14ac:dyDescent="0.3">
      <c r="A72" s="164">
        <v>46217</v>
      </c>
      <c r="B72" s="231" t="str">
        <f t="shared" si="2"/>
        <v>mar</v>
      </c>
      <c r="C72" s="146" t="s">
        <v>116</v>
      </c>
      <c r="D72" s="146" t="s">
        <v>163</v>
      </c>
      <c r="E72" s="231" t="str">
        <f>IFERROR(INDEX(Servicios!$B:$B,MATCH($D72,Servicios!$A:$A,0)),"")</f>
        <v>Pedicure spa</v>
      </c>
      <c r="F72" s="146" t="s">
        <v>246</v>
      </c>
      <c r="G72" s="146" t="s">
        <v>236</v>
      </c>
      <c r="H72" s="230">
        <f>IFERROR(INDEX(Servicios!$D:$D,MATCH($D72,Servicios!$A:$A,0)),0)</f>
        <v>70</v>
      </c>
      <c r="I72" s="226">
        <f>IFERROR(INDEX(Servicios!$E:$E,MATCH($D72,Servicios!$A:$A,0)),0)</f>
        <v>62000</v>
      </c>
      <c r="J72" s="156"/>
      <c r="K72" s="226">
        <f t="shared" si="3"/>
        <v>62000</v>
      </c>
      <c r="L72" s="226">
        <f>IFERROR(K72*IFERROR(INDEX(Servicios!$G:$G,MATCH($D72,Servicios!$A:$A,0)),0),0)</f>
        <v>17360</v>
      </c>
      <c r="M72" s="226">
        <f>IFERROR(K72-L72-IFERROR(INDEX(Servicios!$F:$F,MATCH($D72,Servicios!$A:$A,0)),0),0)</f>
        <v>38265</v>
      </c>
    </row>
    <row r="73" spans="1:13" ht="15" customHeight="1" x14ac:dyDescent="0.3">
      <c r="A73" s="164">
        <v>46218</v>
      </c>
      <c r="B73" s="231" t="str">
        <f t="shared" si="2"/>
        <v>mié</v>
      </c>
      <c r="C73" s="146" t="s">
        <v>113</v>
      </c>
      <c r="D73" s="146" t="s">
        <v>151</v>
      </c>
      <c r="E73" s="231" t="str">
        <f>IFERROR(INDEX(Servicios!$B:$B,MATCH($D73,Servicios!$A:$A,0)),"")</f>
        <v>Corte caballero + barba</v>
      </c>
      <c r="F73" s="146" t="s">
        <v>266</v>
      </c>
      <c r="G73" s="146" t="s">
        <v>236</v>
      </c>
      <c r="H73" s="230">
        <f>IFERROR(INDEX(Servicios!$D:$D,MATCH($D73,Servicios!$A:$A,0)),0)</f>
        <v>50</v>
      </c>
      <c r="I73" s="226">
        <f>IFERROR(INDEX(Servicios!$E:$E,MATCH($D73,Servicios!$A:$A,0)),0)</f>
        <v>42000</v>
      </c>
      <c r="J73" s="156"/>
      <c r="K73" s="226">
        <f t="shared" si="3"/>
        <v>42000</v>
      </c>
      <c r="L73" s="226">
        <f>IFERROR(K73*IFERROR(INDEX(Servicios!$G:$G,MATCH($D73,Servicios!$A:$A,0)),0),0)</f>
        <v>13440</v>
      </c>
      <c r="M73" s="226">
        <f>IFERROR(K73-L73-IFERROR(INDEX(Servicios!$F:$F,MATCH($D73,Servicios!$A:$A,0)),0),0)</f>
        <v>28560</v>
      </c>
    </row>
    <row r="74" spans="1:13" ht="15" customHeight="1" x14ac:dyDescent="0.3">
      <c r="A74" s="164">
        <v>46218</v>
      </c>
      <c r="B74" s="231" t="str">
        <f t="shared" si="2"/>
        <v>mié</v>
      </c>
      <c r="C74" s="146" t="s">
        <v>110</v>
      </c>
      <c r="D74" s="146" t="s">
        <v>159</v>
      </c>
      <c r="E74" s="231" t="str">
        <f>IFERROR(INDEX(Servicios!$B:$B,MATCH($D74,Servicios!$A:$A,0)),"")</f>
        <v>Tratamiento anticaída</v>
      </c>
      <c r="F74" s="146" t="s">
        <v>261</v>
      </c>
      <c r="G74" s="146" t="s">
        <v>45</v>
      </c>
      <c r="H74" s="230">
        <f>IFERROR(INDEX(Servicios!$D:$D,MATCH($D74,Servicios!$A:$A,0)),0)</f>
        <v>40</v>
      </c>
      <c r="I74" s="226">
        <f>IFERROR(INDEX(Servicios!$E:$E,MATCH($D74,Servicios!$A:$A,0)),0)</f>
        <v>72000</v>
      </c>
      <c r="J74" s="148">
        <v>0.1</v>
      </c>
      <c r="K74" s="226">
        <f t="shared" si="3"/>
        <v>64800</v>
      </c>
      <c r="L74" s="226">
        <f>IFERROR(K74*IFERROR(INDEX(Servicios!$G:$G,MATCH($D74,Servicios!$A:$A,0)),0),0)</f>
        <v>19440</v>
      </c>
      <c r="M74" s="226">
        <f>IFERROR(K74-L74-IFERROR(INDEX(Servicios!$F:$F,MATCH($D74,Servicios!$A:$A,0)),0),0)</f>
        <v>34860</v>
      </c>
    </row>
    <row r="75" spans="1:13" ht="15" customHeight="1" x14ac:dyDescent="0.3">
      <c r="A75" s="164">
        <v>46218</v>
      </c>
      <c r="B75" s="231" t="str">
        <f t="shared" si="2"/>
        <v>mié</v>
      </c>
      <c r="C75" s="146" t="s">
        <v>116</v>
      </c>
      <c r="D75" s="146" t="s">
        <v>169</v>
      </c>
      <c r="E75" s="231" t="str">
        <f>IFERROR(INDEX(Servicios!$B:$B,MATCH($D75,Servicios!$A:$A,0)),"")</f>
        <v>Depilación de cejas</v>
      </c>
      <c r="F75" s="146" t="s">
        <v>267</v>
      </c>
      <c r="G75" s="146" t="s">
        <v>43</v>
      </c>
      <c r="H75" s="230">
        <f>IFERROR(INDEX(Servicios!$D:$D,MATCH($D75,Servicios!$A:$A,0)),0)</f>
        <v>20</v>
      </c>
      <c r="I75" s="226">
        <f>IFERROR(INDEX(Servicios!$E:$E,MATCH($D75,Servicios!$A:$A,0)),0)</f>
        <v>18000</v>
      </c>
      <c r="J75" s="156"/>
      <c r="K75" s="226">
        <f t="shared" si="3"/>
        <v>18000</v>
      </c>
      <c r="L75" s="226">
        <f>IFERROR(K75*IFERROR(INDEX(Servicios!$G:$G,MATCH($D75,Servicios!$A:$A,0)),0),0)</f>
        <v>4500</v>
      </c>
      <c r="M75" s="226">
        <f>IFERROR(K75-L75-IFERROR(INDEX(Servicios!$F:$F,MATCH($D75,Servicios!$A:$A,0)),0),0)</f>
        <v>11875</v>
      </c>
    </row>
    <row r="76" spans="1:13" ht="15" customHeight="1" x14ac:dyDescent="0.3">
      <c r="A76" s="164">
        <v>46219</v>
      </c>
      <c r="B76" s="231" t="str">
        <f t="shared" si="2"/>
        <v>jue</v>
      </c>
      <c r="C76" s="146" t="s">
        <v>110</v>
      </c>
      <c r="D76" s="146" t="s">
        <v>146</v>
      </c>
      <c r="E76" s="231" t="str">
        <f>IFERROR(INDEX(Servicios!$B:$B,MATCH($D76,Servicios!$A:$A,0)),"")</f>
        <v>Corte niño</v>
      </c>
      <c r="F76" s="146" t="s">
        <v>268</v>
      </c>
      <c r="G76" s="146" t="s">
        <v>43</v>
      </c>
      <c r="H76" s="230">
        <f>IFERROR(INDEX(Servicios!$D:$D,MATCH($D76,Servicios!$A:$A,0)),0)</f>
        <v>25</v>
      </c>
      <c r="I76" s="226">
        <f>IFERROR(INDEX(Servicios!$E:$E,MATCH($D76,Servicios!$A:$A,0)),0)</f>
        <v>22000</v>
      </c>
      <c r="J76" s="156"/>
      <c r="K76" s="226">
        <f t="shared" si="3"/>
        <v>22000</v>
      </c>
      <c r="L76" s="226">
        <f>IFERROR(K76*IFERROR(INDEX(Servicios!$G:$G,MATCH($D76,Servicios!$A:$A,0)),0),0)</f>
        <v>6160.0000000000009</v>
      </c>
      <c r="M76" s="226">
        <f>IFERROR(K76-L76-IFERROR(INDEX(Servicios!$F:$F,MATCH($D76,Servicios!$A:$A,0)),0),0)</f>
        <v>15840</v>
      </c>
    </row>
    <row r="77" spans="1:13" ht="15" customHeight="1" x14ac:dyDescent="0.3">
      <c r="A77" s="164">
        <v>46219</v>
      </c>
      <c r="B77" s="231" t="str">
        <f t="shared" si="2"/>
        <v>jue</v>
      </c>
      <c r="C77" s="146" t="s">
        <v>113</v>
      </c>
      <c r="D77" s="146" t="s">
        <v>151</v>
      </c>
      <c r="E77" s="231" t="str">
        <f>IFERROR(INDEX(Servicios!$B:$B,MATCH($D77,Servicios!$A:$A,0)),"")</f>
        <v>Corte caballero + barba</v>
      </c>
      <c r="F77" s="146" t="s">
        <v>233</v>
      </c>
      <c r="G77" s="146" t="s">
        <v>43</v>
      </c>
      <c r="H77" s="230">
        <f>IFERROR(INDEX(Servicios!$D:$D,MATCH($D77,Servicios!$A:$A,0)),0)</f>
        <v>50</v>
      </c>
      <c r="I77" s="226">
        <f>IFERROR(INDEX(Servicios!$E:$E,MATCH($D77,Servicios!$A:$A,0)),0)</f>
        <v>42000</v>
      </c>
      <c r="J77" s="156"/>
      <c r="K77" s="226">
        <f t="shared" si="3"/>
        <v>42000</v>
      </c>
      <c r="L77" s="226">
        <f>IFERROR(K77*IFERROR(INDEX(Servicios!$G:$G,MATCH($D77,Servicios!$A:$A,0)),0),0)</f>
        <v>13440</v>
      </c>
      <c r="M77" s="226">
        <f>IFERROR(K77-L77-IFERROR(INDEX(Servicios!$F:$F,MATCH($D77,Servicios!$A:$A,0)),0),0)</f>
        <v>28560</v>
      </c>
    </row>
    <row r="78" spans="1:13" ht="15" customHeight="1" x14ac:dyDescent="0.3">
      <c r="A78" s="164">
        <v>46219</v>
      </c>
      <c r="B78" s="231" t="str">
        <f t="shared" si="2"/>
        <v>jue</v>
      </c>
      <c r="C78" s="146" t="s">
        <v>104</v>
      </c>
      <c r="D78" s="146" t="s">
        <v>153</v>
      </c>
      <c r="E78" s="231" t="str">
        <f>IFERROR(INDEX(Servicios!$B:$B,MATCH($D78,Servicios!$A:$A,0)),"")</f>
        <v>Retoque de color</v>
      </c>
      <c r="F78" s="146" t="s">
        <v>233</v>
      </c>
      <c r="G78" s="146" t="s">
        <v>236</v>
      </c>
      <c r="H78" s="230">
        <f>IFERROR(INDEX(Servicios!$D:$D,MATCH($D78,Servicios!$A:$A,0)),0)</f>
        <v>60</v>
      </c>
      <c r="I78" s="226">
        <f>IFERROR(INDEX(Servicios!$E:$E,MATCH($D78,Servicios!$A:$A,0)),0)</f>
        <v>75000</v>
      </c>
      <c r="J78" s="148">
        <v>0.1</v>
      </c>
      <c r="K78" s="226">
        <f t="shared" si="3"/>
        <v>67500</v>
      </c>
      <c r="L78" s="226">
        <f>IFERROR(K78*IFERROR(INDEX(Servicios!$G:$G,MATCH($D78,Servicios!$A:$A,0)),0),0)</f>
        <v>22275</v>
      </c>
      <c r="M78" s="226">
        <f>IFERROR(K78-L78-IFERROR(INDEX(Servicios!$F:$F,MATCH($D78,Servicios!$A:$A,0)),0),0)</f>
        <v>41429</v>
      </c>
    </row>
    <row r="79" spans="1:13" ht="15" customHeight="1" x14ac:dyDescent="0.3">
      <c r="A79" s="164">
        <v>46219</v>
      </c>
      <c r="B79" s="231" t="str">
        <f t="shared" si="2"/>
        <v>jue</v>
      </c>
      <c r="C79" s="146" t="s">
        <v>98</v>
      </c>
      <c r="D79" s="146" t="s">
        <v>159</v>
      </c>
      <c r="E79" s="231" t="str">
        <f>IFERROR(INDEX(Servicios!$B:$B,MATCH($D79,Servicios!$A:$A,0)),"")</f>
        <v>Tratamiento anticaída</v>
      </c>
      <c r="F79" s="146" t="s">
        <v>265</v>
      </c>
      <c r="G79" s="146" t="s">
        <v>236</v>
      </c>
      <c r="H79" s="230">
        <f>IFERROR(INDEX(Servicios!$D:$D,MATCH($D79,Servicios!$A:$A,0)),0)</f>
        <v>40</v>
      </c>
      <c r="I79" s="226">
        <f>IFERROR(INDEX(Servicios!$E:$E,MATCH($D79,Servicios!$A:$A,0)),0)</f>
        <v>72000</v>
      </c>
      <c r="J79" s="156"/>
      <c r="K79" s="226">
        <f t="shared" si="3"/>
        <v>72000</v>
      </c>
      <c r="L79" s="226">
        <f>IFERROR(K79*IFERROR(INDEX(Servicios!$G:$G,MATCH($D79,Servicios!$A:$A,0)),0),0)</f>
        <v>21600</v>
      </c>
      <c r="M79" s="226">
        <f>IFERROR(K79-L79-IFERROR(INDEX(Servicios!$F:$F,MATCH($D79,Servicios!$A:$A,0)),0),0)</f>
        <v>39900</v>
      </c>
    </row>
    <row r="80" spans="1:13" ht="15" customHeight="1" x14ac:dyDescent="0.3">
      <c r="A80" s="164">
        <v>46219</v>
      </c>
      <c r="B80" s="231" t="str">
        <f t="shared" si="2"/>
        <v>jue</v>
      </c>
      <c r="C80" s="146" t="s">
        <v>116</v>
      </c>
      <c r="D80" s="146" t="s">
        <v>165</v>
      </c>
      <c r="E80" s="231" t="str">
        <f>IFERROR(INDEX(Servicios!$B:$B,MATCH($D80,Servicios!$A:$A,0)),"")</f>
        <v>Diseño de uñas</v>
      </c>
      <c r="F80" s="146" t="s">
        <v>261</v>
      </c>
      <c r="G80" s="146" t="s">
        <v>45</v>
      </c>
      <c r="H80" s="230">
        <f>IFERROR(INDEX(Servicios!$D:$D,MATCH($D80,Servicios!$A:$A,0)),0)</f>
        <v>35</v>
      </c>
      <c r="I80" s="226">
        <f>IFERROR(INDEX(Servicios!$E:$E,MATCH($D80,Servicios!$A:$A,0)),0)</f>
        <v>28000</v>
      </c>
      <c r="J80" s="156"/>
      <c r="K80" s="226">
        <f t="shared" si="3"/>
        <v>28000</v>
      </c>
      <c r="L80" s="226">
        <f>IFERROR(K80*IFERROR(INDEX(Servicios!$G:$G,MATCH($D80,Servicios!$A:$A,0)),0),0)</f>
        <v>7840.0000000000009</v>
      </c>
      <c r="M80" s="226">
        <f>IFERROR(K80-L80-IFERROR(INDEX(Servicios!$F:$F,MATCH($D80,Servicios!$A:$A,0)),0),0)</f>
        <v>16360</v>
      </c>
    </row>
    <row r="81" spans="1:13" ht="15" customHeight="1" x14ac:dyDescent="0.3">
      <c r="A81" s="164">
        <v>46219</v>
      </c>
      <c r="B81" s="231" t="str">
        <f t="shared" si="2"/>
        <v>jue</v>
      </c>
      <c r="C81" s="146" t="s">
        <v>116</v>
      </c>
      <c r="D81" s="146" t="s">
        <v>169</v>
      </c>
      <c r="E81" s="231" t="str">
        <f>IFERROR(INDEX(Servicios!$B:$B,MATCH($D81,Servicios!$A:$A,0)),"")</f>
        <v>Depilación de cejas</v>
      </c>
      <c r="F81" s="146" t="s">
        <v>223</v>
      </c>
      <c r="G81" s="146" t="s">
        <v>236</v>
      </c>
      <c r="H81" s="230">
        <f>IFERROR(INDEX(Servicios!$D:$D,MATCH($D81,Servicios!$A:$A,0)),0)</f>
        <v>20</v>
      </c>
      <c r="I81" s="226">
        <f>IFERROR(INDEX(Servicios!$E:$E,MATCH($D81,Servicios!$A:$A,0)),0)</f>
        <v>18000</v>
      </c>
      <c r="J81" s="156"/>
      <c r="K81" s="226">
        <f t="shared" si="3"/>
        <v>18000</v>
      </c>
      <c r="L81" s="226">
        <f>IFERROR(K81*IFERROR(INDEX(Servicios!$G:$G,MATCH($D81,Servicios!$A:$A,0)),0),0)</f>
        <v>4500</v>
      </c>
      <c r="M81" s="226">
        <f>IFERROR(K81-L81-IFERROR(INDEX(Servicios!$F:$F,MATCH($D81,Servicios!$A:$A,0)),0),0)</f>
        <v>11875</v>
      </c>
    </row>
    <row r="82" spans="1:13" ht="15" customHeight="1" x14ac:dyDescent="0.3">
      <c r="A82" s="164">
        <v>46219</v>
      </c>
      <c r="B82" s="231" t="str">
        <f t="shared" si="2"/>
        <v>jue</v>
      </c>
      <c r="C82" s="146" t="s">
        <v>116</v>
      </c>
      <c r="D82" s="146" t="s">
        <v>169</v>
      </c>
      <c r="E82" s="231" t="str">
        <f>IFERROR(INDEX(Servicios!$B:$B,MATCH($D82,Servicios!$A:$A,0)),"")</f>
        <v>Depilación de cejas</v>
      </c>
      <c r="F82" s="146" t="s">
        <v>265</v>
      </c>
      <c r="G82" s="146" t="s">
        <v>236</v>
      </c>
      <c r="H82" s="230">
        <f>IFERROR(INDEX(Servicios!$D:$D,MATCH($D82,Servicios!$A:$A,0)),0)</f>
        <v>20</v>
      </c>
      <c r="I82" s="226">
        <f>IFERROR(INDEX(Servicios!$E:$E,MATCH($D82,Servicios!$A:$A,0)),0)</f>
        <v>18000</v>
      </c>
      <c r="J82" s="156"/>
      <c r="K82" s="226">
        <f t="shared" si="3"/>
        <v>18000</v>
      </c>
      <c r="L82" s="226">
        <f>IFERROR(K82*IFERROR(INDEX(Servicios!$G:$G,MATCH($D82,Servicios!$A:$A,0)),0),0)</f>
        <v>4500</v>
      </c>
      <c r="M82" s="226">
        <f>IFERROR(K82-L82-IFERROR(INDEX(Servicios!$F:$F,MATCH($D82,Servicios!$A:$A,0)),0),0)</f>
        <v>11875</v>
      </c>
    </row>
    <row r="83" spans="1:13" ht="15" customHeight="1" x14ac:dyDescent="0.3">
      <c r="A83" s="164">
        <v>46220</v>
      </c>
      <c r="B83" s="231" t="str">
        <f t="shared" si="2"/>
        <v>vie</v>
      </c>
      <c r="C83" s="146" t="s">
        <v>116</v>
      </c>
      <c r="D83" s="146" t="s">
        <v>169</v>
      </c>
      <c r="E83" s="231" t="str">
        <f>IFERROR(INDEX(Servicios!$B:$B,MATCH($D83,Servicios!$A:$A,0)),"")</f>
        <v>Depilación de cejas</v>
      </c>
      <c r="F83" s="146" t="s">
        <v>255</v>
      </c>
      <c r="G83" s="146" t="s">
        <v>41</v>
      </c>
      <c r="H83" s="230">
        <f>IFERROR(INDEX(Servicios!$D:$D,MATCH($D83,Servicios!$A:$A,0)),0)</f>
        <v>20</v>
      </c>
      <c r="I83" s="226">
        <f>IFERROR(INDEX(Servicios!$E:$E,MATCH($D83,Servicios!$A:$A,0)),0)</f>
        <v>18000</v>
      </c>
      <c r="J83" s="156"/>
      <c r="K83" s="226">
        <f t="shared" si="3"/>
        <v>18000</v>
      </c>
      <c r="L83" s="226">
        <f>IFERROR(K83*IFERROR(INDEX(Servicios!$G:$G,MATCH($D83,Servicios!$A:$A,0)),0),0)</f>
        <v>4500</v>
      </c>
      <c r="M83" s="226">
        <f>IFERROR(K83-L83-IFERROR(INDEX(Servicios!$F:$F,MATCH($D83,Servicios!$A:$A,0)),0),0)</f>
        <v>11875</v>
      </c>
    </row>
    <row r="84" spans="1:13" ht="15" customHeight="1" x14ac:dyDescent="0.3">
      <c r="A84" s="164">
        <v>46221</v>
      </c>
      <c r="B84" s="231" t="str">
        <f t="shared" si="2"/>
        <v>sáb</v>
      </c>
      <c r="C84" s="146" t="s">
        <v>113</v>
      </c>
      <c r="D84" s="146" t="s">
        <v>146</v>
      </c>
      <c r="E84" s="231" t="str">
        <f>IFERROR(INDEX(Servicios!$B:$B,MATCH($D84,Servicios!$A:$A,0)),"")</f>
        <v>Corte niño</v>
      </c>
      <c r="F84" s="146" t="s">
        <v>267</v>
      </c>
      <c r="G84" s="146" t="s">
        <v>43</v>
      </c>
      <c r="H84" s="230">
        <f>IFERROR(INDEX(Servicios!$D:$D,MATCH($D84,Servicios!$A:$A,0)),0)</f>
        <v>25</v>
      </c>
      <c r="I84" s="226">
        <f>IFERROR(INDEX(Servicios!$E:$E,MATCH($D84,Servicios!$A:$A,0)),0)</f>
        <v>22000</v>
      </c>
      <c r="J84" s="156"/>
      <c r="K84" s="226">
        <f t="shared" si="3"/>
        <v>22000</v>
      </c>
      <c r="L84" s="226">
        <f>IFERROR(K84*IFERROR(INDEX(Servicios!$G:$G,MATCH($D84,Servicios!$A:$A,0)),0),0)</f>
        <v>6160.0000000000009</v>
      </c>
      <c r="M84" s="226">
        <f>IFERROR(K84-L84-IFERROR(INDEX(Servicios!$F:$F,MATCH($D84,Servicios!$A:$A,0)),0),0)</f>
        <v>15840</v>
      </c>
    </row>
    <row r="85" spans="1:13" ht="15" customHeight="1" x14ac:dyDescent="0.3">
      <c r="A85" s="164">
        <v>46221</v>
      </c>
      <c r="B85" s="231" t="str">
        <f t="shared" si="2"/>
        <v>sáb</v>
      </c>
      <c r="C85" s="146" t="s">
        <v>113</v>
      </c>
      <c r="D85" s="146" t="s">
        <v>148</v>
      </c>
      <c r="E85" s="231" t="str">
        <f>IFERROR(INDEX(Servicios!$B:$B,MATCH($D85,Servicios!$A:$A,0)),"")</f>
        <v>Barba y perfilado</v>
      </c>
      <c r="F85" s="146" t="s">
        <v>255</v>
      </c>
      <c r="G85" s="146" t="s">
        <v>41</v>
      </c>
      <c r="H85" s="230">
        <f>IFERROR(INDEX(Servicios!$D:$D,MATCH($D85,Servicios!$A:$A,0)),0)</f>
        <v>25</v>
      </c>
      <c r="I85" s="226">
        <f>IFERROR(INDEX(Servicios!$E:$E,MATCH($D85,Servicios!$A:$A,0)),0)</f>
        <v>20000</v>
      </c>
      <c r="J85" s="156"/>
      <c r="K85" s="226">
        <f t="shared" si="3"/>
        <v>20000</v>
      </c>
      <c r="L85" s="226">
        <f>IFERROR(K85*IFERROR(INDEX(Servicios!$G:$G,MATCH($D85,Servicios!$A:$A,0)),0),0)</f>
        <v>6400</v>
      </c>
      <c r="M85" s="226">
        <f>IFERROR(K85-L85-IFERROR(INDEX(Servicios!$F:$F,MATCH($D85,Servicios!$A:$A,0)),0),0)</f>
        <v>13600</v>
      </c>
    </row>
    <row r="86" spans="1:13" ht="15" customHeight="1" x14ac:dyDescent="0.3">
      <c r="A86" s="164">
        <v>46221</v>
      </c>
      <c r="B86" s="231" t="str">
        <f t="shared" si="2"/>
        <v>sáb</v>
      </c>
      <c r="C86" s="146" t="s">
        <v>98</v>
      </c>
      <c r="D86" s="146" t="s">
        <v>155</v>
      </c>
      <c r="E86" s="231" t="str">
        <f>IFERROR(INDEX(Servicios!$B:$B,MATCH($D86,Servicios!$A:$A,0)),"")</f>
        <v>Matización / toner</v>
      </c>
      <c r="F86" s="146" t="s">
        <v>254</v>
      </c>
      <c r="G86" s="146" t="s">
        <v>45</v>
      </c>
      <c r="H86" s="230">
        <f>IFERROR(INDEX(Servicios!$D:$D,MATCH($D86,Servicios!$A:$A,0)),0)</f>
        <v>45</v>
      </c>
      <c r="I86" s="226">
        <f>IFERROR(INDEX(Servicios!$E:$E,MATCH($D86,Servicios!$A:$A,0)),0)</f>
        <v>68000</v>
      </c>
      <c r="J86" s="148">
        <v>0.15</v>
      </c>
      <c r="K86" s="226">
        <f t="shared" si="3"/>
        <v>57800</v>
      </c>
      <c r="L86" s="226">
        <f>IFERROR(K86*IFERROR(INDEX(Servicios!$G:$G,MATCH($D86,Servicios!$A:$A,0)),0),0)</f>
        <v>19074</v>
      </c>
      <c r="M86" s="226">
        <f>IFERROR(K86-L86-IFERROR(INDEX(Servicios!$F:$F,MATCH($D86,Servicios!$A:$A,0)),0),0)</f>
        <v>35042</v>
      </c>
    </row>
    <row r="87" spans="1:13" ht="15" customHeight="1" x14ac:dyDescent="0.3">
      <c r="A87" s="164">
        <v>46221</v>
      </c>
      <c r="B87" s="231" t="str">
        <f t="shared" si="2"/>
        <v>sáb</v>
      </c>
      <c r="C87" s="146" t="s">
        <v>110</v>
      </c>
      <c r="D87" s="146" t="s">
        <v>157</v>
      </c>
      <c r="E87" s="231" t="str">
        <f>IFERROR(INDEX(Servicios!$B:$B,MATCH($D87,Servicios!$A:$A,0)),"")</f>
        <v>Hidratación profunda</v>
      </c>
      <c r="F87" s="146" t="s">
        <v>269</v>
      </c>
      <c r="G87" s="146" t="s">
        <v>43</v>
      </c>
      <c r="H87" s="230">
        <f>IFERROR(INDEX(Servicios!$D:$D,MATCH($D87,Servicios!$A:$A,0)),0)</f>
        <v>45</v>
      </c>
      <c r="I87" s="226">
        <f>IFERROR(INDEX(Servicios!$E:$E,MATCH($D87,Servicios!$A:$A,0)),0)</f>
        <v>65000</v>
      </c>
      <c r="J87" s="156"/>
      <c r="K87" s="226">
        <f t="shared" si="3"/>
        <v>65000</v>
      </c>
      <c r="L87" s="226">
        <f>IFERROR(K87*IFERROR(INDEX(Servicios!$G:$G,MATCH($D87,Servicios!$A:$A,0)),0),0)</f>
        <v>19500</v>
      </c>
      <c r="M87" s="226">
        <f>IFERROR(K87-L87-IFERROR(INDEX(Servicios!$F:$F,MATCH($D87,Servicios!$A:$A,0)),0),0)</f>
        <v>39900</v>
      </c>
    </row>
    <row r="88" spans="1:13" ht="15" customHeight="1" x14ac:dyDescent="0.3">
      <c r="A88" s="164">
        <v>46221</v>
      </c>
      <c r="B88" s="231" t="str">
        <f t="shared" si="2"/>
        <v>sáb</v>
      </c>
      <c r="C88" s="146" t="s">
        <v>110</v>
      </c>
      <c r="D88" s="146" t="s">
        <v>159</v>
      </c>
      <c r="E88" s="231" t="str">
        <f>IFERROR(INDEX(Servicios!$B:$B,MATCH($D88,Servicios!$A:$A,0)),"")</f>
        <v>Tratamiento anticaída</v>
      </c>
      <c r="F88" s="146" t="s">
        <v>243</v>
      </c>
      <c r="G88" s="146" t="s">
        <v>236</v>
      </c>
      <c r="H88" s="230">
        <f>IFERROR(INDEX(Servicios!$D:$D,MATCH($D88,Servicios!$A:$A,0)),0)</f>
        <v>40</v>
      </c>
      <c r="I88" s="226">
        <f>IFERROR(INDEX(Servicios!$E:$E,MATCH($D88,Servicios!$A:$A,0)),0)</f>
        <v>72000</v>
      </c>
      <c r="J88" s="156"/>
      <c r="K88" s="226">
        <f t="shared" si="3"/>
        <v>72000</v>
      </c>
      <c r="L88" s="226">
        <f>IFERROR(K88*IFERROR(INDEX(Servicios!$G:$G,MATCH($D88,Servicios!$A:$A,0)),0),0)</f>
        <v>21600</v>
      </c>
      <c r="M88" s="226">
        <f>IFERROR(K88-L88-IFERROR(INDEX(Servicios!$F:$F,MATCH($D88,Servicios!$A:$A,0)),0),0)</f>
        <v>39900</v>
      </c>
    </row>
    <row r="89" spans="1:13" ht="15" customHeight="1" x14ac:dyDescent="0.3">
      <c r="A89" s="164">
        <v>46221</v>
      </c>
      <c r="B89" s="231" t="str">
        <f t="shared" si="2"/>
        <v>sáb</v>
      </c>
      <c r="C89" s="146" t="s">
        <v>98</v>
      </c>
      <c r="D89" s="146" t="s">
        <v>159</v>
      </c>
      <c r="E89" s="231" t="str">
        <f>IFERROR(INDEX(Servicios!$B:$B,MATCH($D89,Servicios!$A:$A,0)),"")</f>
        <v>Tratamiento anticaída</v>
      </c>
      <c r="F89" s="146" t="s">
        <v>260</v>
      </c>
      <c r="G89" s="146" t="s">
        <v>236</v>
      </c>
      <c r="H89" s="230">
        <f>IFERROR(INDEX(Servicios!$D:$D,MATCH($D89,Servicios!$A:$A,0)),0)</f>
        <v>40</v>
      </c>
      <c r="I89" s="226">
        <f>IFERROR(INDEX(Servicios!$E:$E,MATCH($D89,Servicios!$A:$A,0)),0)</f>
        <v>72000</v>
      </c>
      <c r="J89" s="156"/>
      <c r="K89" s="226">
        <f t="shared" si="3"/>
        <v>72000</v>
      </c>
      <c r="L89" s="226">
        <f>IFERROR(K89*IFERROR(INDEX(Servicios!$G:$G,MATCH($D89,Servicios!$A:$A,0)),0),0)</f>
        <v>21600</v>
      </c>
      <c r="M89" s="226">
        <f>IFERROR(K89-L89-IFERROR(INDEX(Servicios!$F:$F,MATCH($D89,Servicios!$A:$A,0)),0),0)</f>
        <v>39900</v>
      </c>
    </row>
    <row r="90" spans="1:13" ht="15" customHeight="1" x14ac:dyDescent="0.3">
      <c r="A90" s="164">
        <v>46221</v>
      </c>
      <c r="B90" s="231" t="str">
        <f t="shared" si="2"/>
        <v>sáb</v>
      </c>
      <c r="C90" s="146" t="s">
        <v>110</v>
      </c>
      <c r="D90" s="146" t="s">
        <v>165</v>
      </c>
      <c r="E90" s="231" t="str">
        <f>IFERROR(INDEX(Servicios!$B:$B,MATCH($D90,Servicios!$A:$A,0)),"")</f>
        <v>Diseño de uñas</v>
      </c>
      <c r="F90" s="146" t="s">
        <v>231</v>
      </c>
      <c r="G90" s="146" t="s">
        <v>43</v>
      </c>
      <c r="H90" s="230">
        <f>IFERROR(INDEX(Servicios!$D:$D,MATCH($D90,Servicios!$A:$A,0)),0)</f>
        <v>35</v>
      </c>
      <c r="I90" s="226">
        <f>IFERROR(INDEX(Servicios!$E:$E,MATCH($D90,Servicios!$A:$A,0)),0)</f>
        <v>28000</v>
      </c>
      <c r="J90" s="156"/>
      <c r="K90" s="226">
        <f t="shared" si="3"/>
        <v>28000</v>
      </c>
      <c r="L90" s="226">
        <f>IFERROR(K90*IFERROR(INDEX(Servicios!$G:$G,MATCH($D90,Servicios!$A:$A,0)),0),0)</f>
        <v>7840.0000000000009</v>
      </c>
      <c r="M90" s="226">
        <f>IFERROR(K90-L90-IFERROR(INDEX(Servicios!$F:$F,MATCH($D90,Servicios!$A:$A,0)),0),0)</f>
        <v>16360</v>
      </c>
    </row>
    <row r="91" spans="1:13" ht="15" customHeight="1" x14ac:dyDescent="0.3">
      <c r="A91" s="164">
        <v>46222</v>
      </c>
      <c r="B91" s="231" t="str">
        <f t="shared" si="2"/>
        <v>dom</v>
      </c>
      <c r="C91" s="146" t="s">
        <v>113</v>
      </c>
      <c r="D91" s="146" t="s">
        <v>146</v>
      </c>
      <c r="E91" s="231" t="str">
        <f>IFERROR(INDEX(Servicios!$B:$B,MATCH($D91,Servicios!$A:$A,0)),"")</f>
        <v>Corte niño</v>
      </c>
      <c r="F91" s="146" t="s">
        <v>245</v>
      </c>
      <c r="G91" s="146" t="s">
        <v>41</v>
      </c>
      <c r="H91" s="230">
        <f>IFERROR(INDEX(Servicios!$D:$D,MATCH($D91,Servicios!$A:$A,0)),0)</f>
        <v>25</v>
      </c>
      <c r="I91" s="226">
        <f>IFERROR(INDEX(Servicios!$E:$E,MATCH($D91,Servicios!$A:$A,0)),0)</f>
        <v>22000</v>
      </c>
      <c r="J91" s="156"/>
      <c r="K91" s="226">
        <f t="shared" si="3"/>
        <v>22000</v>
      </c>
      <c r="L91" s="226">
        <f>IFERROR(K91*IFERROR(INDEX(Servicios!$G:$G,MATCH($D91,Servicios!$A:$A,0)),0),0)</f>
        <v>6160.0000000000009</v>
      </c>
      <c r="M91" s="226">
        <f>IFERROR(K91-L91-IFERROR(INDEX(Servicios!$F:$F,MATCH($D91,Servicios!$A:$A,0)),0),0)</f>
        <v>15840</v>
      </c>
    </row>
    <row r="92" spans="1:13" ht="15" customHeight="1" x14ac:dyDescent="0.3">
      <c r="A92" s="164">
        <v>46222</v>
      </c>
      <c r="B92" s="231" t="str">
        <f t="shared" si="2"/>
        <v>dom</v>
      </c>
      <c r="C92" s="146" t="s">
        <v>113</v>
      </c>
      <c r="D92" s="146" t="s">
        <v>148</v>
      </c>
      <c r="E92" s="231" t="str">
        <f>IFERROR(INDEX(Servicios!$B:$B,MATCH($D92,Servicios!$A:$A,0)),"")</f>
        <v>Barba y perfilado</v>
      </c>
      <c r="F92" s="146" t="s">
        <v>246</v>
      </c>
      <c r="G92" s="146" t="s">
        <v>41</v>
      </c>
      <c r="H92" s="230">
        <f>IFERROR(INDEX(Servicios!$D:$D,MATCH($D92,Servicios!$A:$A,0)),0)</f>
        <v>25</v>
      </c>
      <c r="I92" s="226">
        <f>IFERROR(INDEX(Servicios!$E:$E,MATCH($D92,Servicios!$A:$A,0)),0)</f>
        <v>20000</v>
      </c>
      <c r="J92" s="156"/>
      <c r="K92" s="226">
        <f t="shared" si="3"/>
        <v>20000</v>
      </c>
      <c r="L92" s="226">
        <f>IFERROR(K92*IFERROR(INDEX(Servicios!$G:$G,MATCH($D92,Servicios!$A:$A,0)),0),0)</f>
        <v>6400</v>
      </c>
      <c r="M92" s="226">
        <f>IFERROR(K92-L92-IFERROR(INDEX(Servicios!$F:$F,MATCH($D92,Servicios!$A:$A,0)),0),0)</f>
        <v>13600</v>
      </c>
    </row>
    <row r="93" spans="1:13" ht="15" customHeight="1" x14ac:dyDescent="0.3">
      <c r="A93" s="164">
        <v>46222</v>
      </c>
      <c r="B93" s="231" t="str">
        <f t="shared" si="2"/>
        <v>dom</v>
      </c>
      <c r="C93" s="146" t="s">
        <v>113</v>
      </c>
      <c r="D93" s="146" t="s">
        <v>148</v>
      </c>
      <c r="E93" s="231" t="str">
        <f>IFERROR(INDEX(Servicios!$B:$B,MATCH($D93,Servicios!$A:$A,0)),"")</f>
        <v>Barba y perfilado</v>
      </c>
      <c r="F93" s="146" t="s">
        <v>270</v>
      </c>
      <c r="G93" s="146" t="s">
        <v>236</v>
      </c>
      <c r="H93" s="230">
        <f>IFERROR(INDEX(Servicios!$D:$D,MATCH($D93,Servicios!$A:$A,0)),0)</f>
        <v>25</v>
      </c>
      <c r="I93" s="226">
        <f>IFERROR(INDEX(Servicios!$E:$E,MATCH($D93,Servicios!$A:$A,0)),0)</f>
        <v>20000</v>
      </c>
      <c r="J93" s="156"/>
      <c r="K93" s="226">
        <f t="shared" si="3"/>
        <v>20000</v>
      </c>
      <c r="L93" s="226">
        <f>IFERROR(K93*IFERROR(INDEX(Servicios!$G:$G,MATCH($D93,Servicios!$A:$A,0)),0),0)</f>
        <v>6400</v>
      </c>
      <c r="M93" s="226">
        <f>IFERROR(K93-L93-IFERROR(INDEX(Servicios!$F:$F,MATCH($D93,Servicios!$A:$A,0)),0),0)</f>
        <v>13600</v>
      </c>
    </row>
    <row r="94" spans="1:13" ht="15" customHeight="1" x14ac:dyDescent="0.3">
      <c r="A94" s="164">
        <v>46222</v>
      </c>
      <c r="B94" s="231" t="str">
        <f t="shared" si="2"/>
        <v>dom</v>
      </c>
      <c r="C94" s="146" t="s">
        <v>116</v>
      </c>
      <c r="D94" s="146" t="s">
        <v>161</v>
      </c>
      <c r="E94" s="231" t="str">
        <f>IFERROR(INDEX(Servicios!$B:$B,MATCH($D94,Servicios!$A:$A,0)),"")</f>
        <v>Manicure semipermanente</v>
      </c>
      <c r="F94" s="146" t="s">
        <v>226</v>
      </c>
      <c r="G94" s="146" t="s">
        <v>43</v>
      </c>
      <c r="H94" s="230">
        <f>IFERROR(INDEX(Servicios!$D:$D,MATCH($D94,Servicios!$A:$A,0)),0)</f>
        <v>60</v>
      </c>
      <c r="I94" s="226">
        <f>IFERROR(INDEX(Servicios!$E:$E,MATCH($D94,Servicios!$A:$A,0)),0)</f>
        <v>55000</v>
      </c>
      <c r="J94" s="156"/>
      <c r="K94" s="226">
        <f t="shared" si="3"/>
        <v>55000</v>
      </c>
      <c r="L94" s="226">
        <f>IFERROR(K94*IFERROR(INDEX(Servicios!$G:$G,MATCH($D94,Servicios!$A:$A,0)),0),0)</f>
        <v>15400.000000000002</v>
      </c>
      <c r="M94" s="226">
        <f>IFERROR(K94-L94-IFERROR(INDEX(Servicios!$F:$F,MATCH($D94,Servicios!$A:$A,0)),0),0)</f>
        <v>31460</v>
      </c>
    </row>
    <row r="95" spans="1:13" ht="15" customHeight="1" x14ac:dyDescent="0.3">
      <c r="A95" s="164">
        <v>46222</v>
      </c>
      <c r="B95" s="231" t="str">
        <f t="shared" si="2"/>
        <v>dom</v>
      </c>
      <c r="C95" s="146" t="s">
        <v>116</v>
      </c>
      <c r="D95" s="146" t="s">
        <v>161</v>
      </c>
      <c r="E95" s="231" t="str">
        <f>IFERROR(INDEX(Servicios!$B:$B,MATCH($D95,Servicios!$A:$A,0)),"")</f>
        <v>Manicure semipermanente</v>
      </c>
      <c r="F95" s="146" t="s">
        <v>238</v>
      </c>
      <c r="G95" s="146" t="s">
        <v>236</v>
      </c>
      <c r="H95" s="230">
        <f>IFERROR(INDEX(Servicios!$D:$D,MATCH($D95,Servicios!$A:$A,0)),0)</f>
        <v>60</v>
      </c>
      <c r="I95" s="226">
        <f>IFERROR(INDEX(Servicios!$E:$E,MATCH($D95,Servicios!$A:$A,0)),0)</f>
        <v>55000</v>
      </c>
      <c r="J95" s="156"/>
      <c r="K95" s="226">
        <f t="shared" si="3"/>
        <v>55000</v>
      </c>
      <c r="L95" s="226">
        <f>IFERROR(K95*IFERROR(INDEX(Servicios!$G:$G,MATCH($D95,Servicios!$A:$A,0)),0),0)</f>
        <v>15400.000000000002</v>
      </c>
      <c r="M95" s="226">
        <f>IFERROR(K95-L95-IFERROR(INDEX(Servicios!$F:$F,MATCH($D95,Servicios!$A:$A,0)),0),0)</f>
        <v>31460</v>
      </c>
    </row>
    <row r="96" spans="1:13" ht="15" customHeight="1" x14ac:dyDescent="0.3">
      <c r="A96" s="164">
        <v>46222</v>
      </c>
      <c r="B96" s="231" t="str">
        <f t="shared" si="2"/>
        <v>dom</v>
      </c>
      <c r="C96" s="146" t="s">
        <v>116</v>
      </c>
      <c r="D96" s="146" t="s">
        <v>163</v>
      </c>
      <c r="E96" s="231" t="str">
        <f>IFERROR(INDEX(Servicios!$B:$B,MATCH($D96,Servicios!$A:$A,0)),"")</f>
        <v>Pedicure spa</v>
      </c>
      <c r="F96" s="146" t="s">
        <v>233</v>
      </c>
      <c r="G96" s="146" t="s">
        <v>41</v>
      </c>
      <c r="H96" s="230">
        <f>IFERROR(INDEX(Servicios!$D:$D,MATCH($D96,Servicios!$A:$A,0)),0)</f>
        <v>70</v>
      </c>
      <c r="I96" s="226">
        <f>IFERROR(INDEX(Servicios!$E:$E,MATCH($D96,Servicios!$A:$A,0)),0)</f>
        <v>62000</v>
      </c>
      <c r="J96" s="156"/>
      <c r="K96" s="226">
        <f t="shared" si="3"/>
        <v>62000</v>
      </c>
      <c r="L96" s="226">
        <f>IFERROR(K96*IFERROR(INDEX(Servicios!$G:$G,MATCH($D96,Servicios!$A:$A,0)),0),0)</f>
        <v>17360</v>
      </c>
      <c r="M96" s="226">
        <f>IFERROR(K96-L96-IFERROR(INDEX(Servicios!$F:$F,MATCH($D96,Servicios!$A:$A,0)),0),0)</f>
        <v>38265</v>
      </c>
    </row>
    <row r="97" spans="1:13" ht="15" customHeight="1" x14ac:dyDescent="0.3">
      <c r="A97" s="164">
        <v>46222</v>
      </c>
      <c r="B97" s="231" t="str">
        <f t="shared" si="2"/>
        <v>dom</v>
      </c>
      <c r="C97" s="146" t="s">
        <v>116</v>
      </c>
      <c r="D97" s="146" t="s">
        <v>165</v>
      </c>
      <c r="E97" s="231" t="str">
        <f>IFERROR(INDEX(Servicios!$B:$B,MATCH($D97,Servicios!$A:$A,0)),"")</f>
        <v>Diseño de uñas</v>
      </c>
      <c r="F97" s="146" t="s">
        <v>255</v>
      </c>
      <c r="G97" s="146" t="s">
        <v>236</v>
      </c>
      <c r="H97" s="230">
        <f>IFERROR(INDEX(Servicios!$D:$D,MATCH($D97,Servicios!$A:$A,0)),0)</f>
        <v>35</v>
      </c>
      <c r="I97" s="226">
        <f>IFERROR(INDEX(Servicios!$E:$E,MATCH($D97,Servicios!$A:$A,0)),0)</f>
        <v>28000</v>
      </c>
      <c r="J97" s="156"/>
      <c r="K97" s="226">
        <f t="shared" si="3"/>
        <v>28000</v>
      </c>
      <c r="L97" s="226">
        <f>IFERROR(K97*IFERROR(INDEX(Servicios!$G:$G,MATCH($D97,Servicios!$A:$A,0)),0),0)</f>
        <v>7840.0000000000009</v>
      </c>
      <c r="M97" s="226">
        <f>IFERROR(K97-L97-IFERROR(INDEX(Servicios!$F:$F,MATCH($D97,Servicios!$A:$A,0)),0),0)</f>
        <v>16360</v>
      </c>
    </row>
    <row r="98" spans="1:13" ht="15" customHeight="1" x14ac:dyDescent="0.3">
      <c r="A98" s="164">
        <v>46222</v>
      </c>
      <c r="B98" s="231" t="str">
        <f t="shared" si="2"/>
        <v>dom</v>
      </c>
      <c r="C98" s="146" t="s">
        <v>110</v>
      </c>
      <c r="D98" s="146" t="s">
        <v>167</v>
      </c>
      <c r="E98" s="231" t="str">
        <f>IFERROR(INDEX(Servicios!$B:$B,MATCH($D98,Servicios!$A:$A,0)),"")</f>
        <v>Peinado para evento</v>
      </c>
      <c r="F98" s="146" t="s">
        <v>224</v>
      </c>
      <c r="G98" s="146" t="s">
        <v>43</v>
      </c>
      <c r="H98" s="230">
        <f>IFERROR(INDEX(Servicios!$D:$D,MATCH($D98,Servicios!$A:$A,0)),0)</f>
        <v>60</v>
      </c>
      <c r="I98" s="226">
        <f>IFERROR(INDEX(Servicios!$E:$E,MATCH($D98,Servicios!$A:$A,0)),0)</f>
        <v>85000</v>
      </c>
      <c r="J98" s="156"/>
      <c r="K98" s="226">
        <f t="shared" si="3"/>
        <v>85000</v>
      </c>
      <c r="L98" s="226">
        <f>IFERROR(K98*IFERROR(INDEX(Servicios!$G:$G,MATCH($D98,Servicios!$A:$A,0)),0),0)</f>
        <v>27200</v>
      </c>
      <c r="M98" s="226">
        <f>IFERROR(K98-L98-IFERROR(INDEX(Servicios!$F:$F,MATCH($D98,Servicios!$A:$A,0)),0),0)</f>
        <v>57800</v>
      </c>
    </row>
    <row r="99" spans="1:13" ht="15" customHeight="1" x14ac:dyDescent="0.3">
      <c r="A99" s="164">
        <v>46222</v>
      </c>
      <c r="B99" s="231" t="str">
        <f t="shared" si="2"/>
        <v>dom</v>
      </c>
      <c r="C99" s="146" t="s">
        <v>110</v>
      </c>
      <c r="D99" s="146" t="s">
        <v>169</v>
      </c>
      <c r="E99" s="231" t="str">
        <f>IFERROR(INDEX(Servicios!$B:$B,MATCH($D99,Servicios!$A:$A,0)),"")</f>
        <v>Depilación de cejas</v>
      </c>
      <c r="F99" s="146" t="s">
        <v>233</v>
      </c>
      <c r="G99" s="146" t="s">
        <v>45</v>
      </c>
      <c r="H99" s="230">
        <f>IFERROR(INDEX(Servicios!$D:$D,MATCH($D99,Servicios!$A:$A,0)),0)</f>
        <v>20</v>
      </c>
      <c r="I99" s="226">
        <f>IFERROR(INDEX(Servicios!$E:$E,MATCH($D99,Servicios!$A:$A,0)),0)</f>
        <v>18000</v>
      </c>
      <c r="J99" s="156"/>
      <c r="K99" s="226">
        <f t="shared" si="3"/>
        <v>18000</v>
      </c>
      <c r="L99" s="226">
        <f>IFERROR(K99*IFERROR(INDEX(Servicios!$G:$G,MATCH($D99,Servicios!$A:$A,0)),0),0)</f>
        <v>4500</v>
      </c>
      <c r="M99" s="226">
        <f>IFERROR(K99-L99-IFERROR(INDEX(Servicios!$F:$F,MATCH($D99,Servicios!$A:$A,0)),0),0)</f>
        <v>11875</v>
      </c>
    </row>
    <row r="100" spans="1:13" ht="15" customHeight="1" x14ac:dyDescent="0.3">
      <c r="A100" s="164">
        <v>46224</v>
      </c>
      <c r="B100" s="231" t="str">
        <f t="shared" si="2"/>
        <v>mar</v>
      </c>
      <c r="C100" s="146" t="s">
        <v>113</v>
      </c>
      <c r="D100" s="146" t="s">
        <v>148</v>
      </c>
      <c r="E100" s="231" t="str">
        <f>IFERROR(INDEX(Servicios!$B:$B,MATCH($D100,Servicios!$A:$A,0)),"")</f>
        <v>Barba y perfilado</v>
      </c>
      <c r="F100" s="146" t="s">
        <v>257</v>
      </c>
      <c r="G100" s="146" t="s">
        <v>43</v>
      </c>
      <c r="H100" s="230">
        <f>IFERROR(INDEX(Servicios!$D:$D,MATCH($D100,Servicios!$A:$A,0)),0)</f>
        <v>25</v>
      </c>
      <c r="I100" s="226">
        <f>IFERROR(INDEX(Servicios!$E:$E,MATCH($D100,Servicios!$A:$A,0)),0)</f>
        <v>20000</v>
      </c>
      <c r="J100" s="156"/>
      <c r="K100" s="226">
        <f t="shared" si="3"/>
        <v>20000</v>
      </c>
      <c r="L100" s="226">
        <f>IFERROR(K100*IFERROR(INDEX(Servicios!$G:$G,MATCH($D100,Servicios!$A:$A,0)),0),0)</f>
        <v>6400</v>
      </c>
      <c r="M100" s="226">
        <f>IFERROR(K100-L100-IFERROR(INDEX(Servicios!$F:$F,MATCH($D100,Servicios!$A:$A,0)),0),0)</f>
        <v>13600</v>
      </c>
    </row>
    <row r="101" spans="1:13" ht="15" customHeight="1" x14ac:dyDescent="0.3">
      <c r="A101" s="164">
        <v>46224</v>
      </c>
      <c r="B101" s="231" t="str">
        <f t="shared" si="2"/>
        <v>mar</v>
      </c>
      <c r="C101" s="146" t="s">
        <v>113</v>
      </c>
      <c r="D101" s="146" t="s">
        <v>148</v>
      </c>
      <c r="E101" s="231" t="str">
        <f>IFERROR(INDEX(Servicios!$B:$B,MATCH($D101,Servicios!$A:$A,0)),"")</f>
        <v>Barba y perfilado</v>
      </c>
      <c r="F101" s="146" t="s">
        <v>271</v>
      </c>
      <c r="G101" s="146" t="s">
        <v>45</v>
      </c>
      <c r="H101" s="230">
        <f>IFERROR(INDEX(Servicios!$D:$D,MATCH($D101,Servicios!$A:$A,0)),0)</f>
        <v>25</v>
      </c>
      <c r="I101" s="226">
        <f>IFERROR(INDEX(Servicios!$E:$E,MATCH($D101,Servicios!$A:$A,0)),0)</f>
        <v>20000</v>
      </c>
      <c r="J101" s="156"/>
      <c r="K101" s="226">
        <f t="shared" si="3"/>
        <v>20000</v>
      </c>
      <c r="L101" s="226">
        <f>IFERROR(K101*IFERROR(INDEX(Servicios!$G:$G,MATCH($D101,Servicios!$A:$A,0)),0),0)</f>
        <v>6400</v>
      </c>
      <c r="M101" s="226">
        <f>IFERROR(K101-L101-IFERROR(INDEX(Servicios!$F:$F,MATCH($D101,Servicios!$A:$A,0)),0),0)</f>
        <v>13600</v>
      </c>
    </row>
    <row r="102" spans="1:13" ht="15" customHeight="1" x14ac:dyDescent="0.3">
      <c r="A102" s="164">
        <v>46224</v>
      </c>
      <c r="B102" s="231" t="str">
        <f t="shared" si="2"/>
        <v>mar</v>
      </c>
      <c r="C102" s="146" t="s">
        <v>113</v>
      </c>
      <c r="D102" s="146" t="s">
        <v>151</v>
      </c>
      <c r="E102" s="231" t="str">
        <f>IFERROR(INDEX(Servicios!$B:$B,MATCH($D102,Servicios!$A:$A,0)),"")</f>
        <v>Corte caballero + barba</v>
      </c>
      <c r="F102" s="146" t="s">
        <v>224</v>
      </c>
      <c r="G102" s="146" t="s">
        <v>43</v>
      </c>
      <c r="H102" s="230">
        <f>IFERROR(INDEX(Servicios!$D:$D,MATCH($D102,Servicios!$A:$A,0)),0)</f>
        <v>50</v>
      </c>
      <c r="I102" s="226">
        <f>IFERROR(INDEX(Servicios!$E:$E,MATCH($D102,Servicios!$A:$A,0)),0)</f>
        <v>42000</v>
      </c>
      <c r="J102" s="156"/>
      <c r="K102" s="226">
        <f t="shared" si="3"/>
        <v>42000</v>
      </c>
      <c r="L102" s="226">
        <f>IFERROR(K102*IFERROR(INDEX(Servicios!$G:$G,MATCH($D102,Servicios!$A:$A,0)),0),0)</f>
        <v>13440</v>
      </c>
      <c r="M102" s="226">
        <f>IFERROR(K102-L102-IFERROR(INDEX(Servicios!$F:$F,MATCH($D102,Servicios!$A:$A,0)),0),0)</f>
        <v>28560</v>
      </c>
    </row>
    <row r="103" spans="1:13" ht="15" customHeight="1" x14ac:dyDescent="0.3">
      <c r="A103" s="164">
        <v>46224</v>
      </c>
      <c r="B103" s="231" t="str">
        <f t="shared" si="2"/>
        <v>mar</v>
      </c>
      <c r="C103" s="146" t="s">
        <v>104</v>
      </c>
      <c r="D103" s="146" t="s">
        <v>153</v>
      </c>
      <c r="E103" s="231" t="str">
        <f>IFERROR(INDEX(Servicios!$B:$B,MATCH($D103,Servicios!$A:$A,0)),"")</f>
        <v>Retoque de color</v>
      </c>
      <c r="F103" s="146" t="s">
        <v>249</v>
      </c>
      <c r="G103" s="146" t="s">
        <v>45</v>
      </c>
      <c r="H103" s="230">
        <f>IFERROR(INDEX(Servicios!$D:$D,MATCH($D103,Servicios!$A:$A,0)),0)</f>
        <v>60</v>
      </c>
      <c r="I103" s="226">
        <f>IFERROR(INDEX(Servicios!$E:$E,MATCH($D103,Servicios!$A:$A,0)),0)</f>
        <v>75000</v>
      </c>
      <c r="J103" s="156"/>
      <c r="K103" s="226">
        <f t="shared" si="3"/>
        <v>75000</v>
      </c>
      <c r="L103" s="226">
        <f>IFERROR(K103*IFERROR(INDEX(Servicios!$G:$G,MATCH($D103,Servicios!$A:$A,0)),0),0)</f>
        <v>24750</v>
      </c>
      <c r="M103" s="226">
        <f>IFERROR(K103-L103-IFERROR(INDEX(Servicios!$F:$F,MATCH($D103,Servicios!$A:$A,0)),0),0)</f>
        <v>46454</v>
      </c>
    </row>
    <row r="104" spans="1:13" ht="15" customHeight="1" x14ac:dyDescent="0.3">
      <c r="A104" s="164">
        <v>46224</v>
      </c>
      <c r="B104" s="231" t="str">
        <f t="shared" si="2"/>
        <v>mar</v>
      </c>
      <c r="C104" s="146" t="s">
        <v>110</v>
      </c>
      <c r="D104" s="146" t="s">
        <v>153</v>
      </c>
      <c r="E104" s="231" t="str">
        <f>IFERROR(INDEX(Servicios!$B:$B,MATCH($D104,Servicios!$A:$A,0)),"")</f>
        <v>Retoque de color</v>
      </c>
      <c r="F104" s="146" t="s">
        <v>272</v>
      </c>
      <c r="G104" s="146" t="s">
        <v>41</v>
      </c>
      <c r="H104" s="230">
        <f>IFERROR(INDEX(Servicios!$D:$D,MATCH($D104,Servicios!$A:$A,0)),0)</f>
        <v>60</v>
      </c>
      <c r="I104" s="226">
        <f>IFERROR(INDEX(Servicios!$E:$E,MATCH($D104,Servicios!$A:$A,0)),0)</f>
        <v>75000</v>
      </c>
      <c r="J104" s="156"/>
      <c r="K104" s="226">
        <f t="shared" si="3"/>
        <v>75000</v>
      </c>
      <c r="L104" s="226">
        <f>IFERROR(K104*IFERROR(INDEX(Servicios!$G:$G,MATCH($D104,Servicios!$A:$A,0)),0),0)</f>
        <v>24750</v>
      </c>
      <c r="M104" s="226">
        <f>IFERROR(K104-L104-IFERROR(INDEX(Servicios!$F:$F,MATCH($D104,Servicios!$A:$A,0)),0),0)</f>
        <v>46454</v>
      </c>
    </row>
    <row r="105" spans="1:13" ht="15" customHeight="1" x14ac:dyDescent="0.3">
      <c r="A105" s="164">
        <v>46224</v>
      </c>
      <c r="B105" s="231" t="str">
        <f t="shared" si="2"/>
        <v>mar</v>
      </c>
      <c r="C105" s="146" t="s">
        <v>98</v>
      </c>
      <c r="D105" s="146" t="s">
        <v>153</v>
      </c>
      <c r="E105" s="231" t="str">
        <f>IFERROR(INDEX(Servicios!$B:$B,MATCH($D105,Servicios!$A:$A,0)),"")</f>
        <v>Retoque de color</v>
      </c>
      <c r="F105" s="146" t="s">
        <v>265</v>
      </c>
      <c r="G105" s="146" t="s">
        <v>43</v>
      </c>
      <c r="H105" s="230">
        <f>IFERROR(INDEX(Servicios!$D:$D,MATCH($D105,Servicios!$A:$A,0)),0)</f>
        <v>60</v>
      </c>
      <c r="I105" s="226">
        <f>IFERROR(INDEX(Servicios!$E:$E,MATCH($D105,Servicios!$A:$A,0)),0)</f>
        <v>75000</v>
      </c>
      <c r="J105" s="156"/>
      <c r="K105" s="226">
        <f t="shared" si="3"/>
        <v>75000</v>
      </c>
      <c r="L105" s="226">
        <f>IFERROR(K105*IFERROR(INDEX(Servicios!$G:$G,MATCH($D105,Servicios!$A:$A,0)),0),0)</f>
        <v>24750</v>
      </c>
      <c r="M105" s="226">
        <f>IFERROR(K105-L105-IFERROR(INDEX(Servicios!$F:$F,MATCH($D105,Servicios!$A:$A,0)),0),0)</f>
        <v>46454</v>
      </c>
    </row>
    <row r="106" spans="1:13" ht="15" customHeight="1" x14ac:dyDescent="0.3">
      <c r="A106" s="164">
        <v>46224</v>
      </c>
      <c r="B106" s="231" t="str">
        <f t="shared" si="2"/>
        <v>mar</v>
      </c>
      <c r="C106" s="146" t="s">
        <v>110</v>
      </c>
      <c r="D106" s="146" t="s">
        <v>153</v>
      </c>
      <c r="E106" s="231" t="str">
        <f>IFERROR(INDEX(Servicios!$B:$B,MATCH($D106,Servicios!$A:$A,0)),"")</f>
        <v>Retoque de color</v>
      </c>
      <c r="F106" s="146" t="s">
        <v>252</v>
      </c>
      <c r="G106" s="146" t="s">
        <v>43</v>
      </c>
      <c r="H106" s="230">
        <f>IFERROR(INDEX(Servicios!$D:$D,MATCH($D106,Servicios!$A:$A,0)),0)</f>
        <v>60</v>
      </c>
      <c r="I106" s="226">
        <f>IFERROR(INDEX(Servicios!$E:$E,MATCH($D106,Servicios!$A:$A,0)),0)</f>
        <v>75000</v>
      </c>
      <c r="J106" s="156"/>
      <c r="K106" s="226">
        <f t="shared" si="3"/>
        <v>75000</v>
      </c>
      <c r="L106" s="226">
        <f>IFERROR(K106*IFERROR(INDEX(Servicios!$G:$G,MATCH($D106,Servicios!$A:$A,0)),0),0)</f>
        <v>24750</v>
      </c>
      <c r="M106" s="226">
        <f>IFERROR(K106-L106-IFERROR(INDEX(Servicios!$F:$F,MATCH($D106,Servicios!$A:$A,0)),0),0)</f>
        <v>46454</v>
      </c>
    </row>
    <row r="107" spans="1:13" ht="15" customHeight="1" x14ac:dyDescent="0.3">
      <c r="A107" s="164">
        <v>46224</v>
      </c>
      <c r="B107" s="231" t="str">
        <f t="shared" si="2"/>
        <v>mar</v>
      </c>
      <c r="C107" s="146" t="s">
        <v>98</v>
      </c>
      <c r="D107" s="146" t="s">
        <v>155</v>
      </c>
      <c r="E107" s="231" t="str">
        <f>IFERROR(INDEX(Servicios!$B:$B,MATCH($D107,Servicios!$A:$A,0)),"")</f>
        <v>Matización / toner</v>
      </c>
      <c r="F107" s="146" t="s">
        <v>224</v>
      </c>
      <c r="G107" s="146" t="s">
        <v>41</v>
      </c>
      <c r="H107" s="230">
        <f>IFERROR(INDEX(Servicios!$D:$D,MATCH($D107,Servicios!$A:$A,0)),0)</f>
        <v>45</v>
      </c>
      <c r="I107" s="226">
        <f>IFERROR(INDEX(Servicios!$E:$E,MATCH($D107,Servicios!$A:$A,0)),0)</f>
        <v>68000</v>
      </c>
      <c r="J107" s="156"/>
      <c r="K107" s="226">
        <f t="shared" si="3"/>
        <v>68000</v>
      </c>
      <c r="L107" s="226">
        <f>IFERROR(K107*IFERROR(INDEX(Servicios!$G:$G,MATCH($D107,Servicios!$A:$A,0)),0),0)</f>
        <v>22440</v>
      </c>
      <c r="M107" s="226">
        <f>IFERROR(K107-L107-IFERROR(INDEX(Servicios!$F:$F,MATCH($D107,Servicios!$A:$A,0)),0),0)</f>
        <v>41876</v>
      </c>
    </row>
    <row r="108" spans="1:13" ht="15" customHeight="1" x14ac:dyDescent="0.3">
      <c r="A108" s="164">
        <v>46224</v>
      </c>
      <c r="B108" s="231" t="str">
        <f t="shared" si="2"/>
        <v>mar</v>
      </c>
      <c r="C108" s="146" t="s">
        <v>116</v>
      </c>
      <c r="D108" s="146" t="s">
        <v>161</v>
      </c>
      <c r="E108" s="231" t="str">
        <f>IFERROR(INDEX(Servicios!$B:$B,MATCH($D108,Servicios!$A:$A,0)),"")</f>
        <v>Manicure semipermanente</v>
      </c>
      <c r="F108" s="146" t="s">
        <v>267</v>
      </c>
      <c r="G108" s="146" t="s">
        <v>43</v>
      </c>
      <c r="H108" s="230">
        <f>IFERROR(INDEX(Servicios!$D:$D,MATCH($D108,Servicios!$A:$A,0)),0)</f>
        <v>60</v>
      </c>
      <c r="I108" s="226">
        <f>IFERROR(INDEX(Servicios!$E:$E,MATCH($D108,Servicios!$A:$A,0)),0)</f>
        <v>55000</v>
      </c>
      <c r="J108" s="156"/>
      <c r="K108" s="226">
        <f t="shared" si="3"/>
        <v>55000</v>
      </c>
      <c r="L108" s="226">
        <f>IFERROR(K108*IFERROR(INDEX(Servicios!$G:$G,MATCH($D108,Servicios!$A:$A,0)),0),0)</f>
        <v>15400.000000000002</v>
      </c>
      <c r="M108" s="226">
        <f>IFERROR(K108-L108-IFERROR(INDEX(Servicios!$F:$F,MATCH($D108,Servicios!$A:$A,0)),0),0)</f>
        <v>31460</v>
      </c>
    </row>
    <row r="109" spans="1:13" ht="15" customHeight="1" x14ac:dyDescent="0.3">
      <c r="A109" s="164">
        <v>46224</v>
      </c>
      <c r="B109" s="231" t="str">
        <f t="shared" si="2"/>
        <v>mar</v>
      </c>
      <c r="C109" s="146" t="s">
        <v>116</v>
      </c>
      <c r="D109" s="146" t="s">
        <v>163</v>
      </c>
      <c r="E109" s="231" t="str">
        <f>IFERROR(INDEX(Servicios!$B:$B,MATCH($D109,Servicios!$A:$A,0)),"")</f>
        <v>Pedicure spa</v>
      </c>
      <c r="F109" s="146" t="s">
        <v>250</v>
      </c>
      <c r="G109" s="146" t="s">
        <v>236</v>
      </c>
      <c r="H109" s="230">
        <f>IFERROR(INDEX(Servicios!$D:$D,MATCH($D109,Servicios!$A:$A,0)),0)</f>
        <v>70</v>
      </c>
      <c r="I109" s="226">
        <f>IFERROR(INDEX(Servicios!$E:$E,MATCH($D109,Servicios!$A:$A,0)),0)</f>
        <v>62000</v>
      </c>
      <c r="J109" s="156"/>
      <c r="K109" s="226">
        <f t="shared" si="3"/>
        <v>62000</v>
      </c>
      <c r="L109" s="226">
        <f>IFERROR(K109*IFERROR(INDEX(Servicios!$G:$G,MATCH($D109,Servicios!$A:$A,0)),0),0)</f>
        <v>17360</v>
      </c>
      <c r="M109" s="226">
        <f>IFERROR(K109-L109-IFERROR(INDEX(Servicios!$F:$F,MATCH($D109,Servicios!$A:$A,0)),0),0)</f>
        <v>38265</v>
      </c>
    </row>
    <row r="110" spans="1:13" ht="15" customHeight="1" x14ac:dyDescent="0.3">
      <c r="A110" s="164">
        <v>46224</v>
      </c>
      <c r="B110" s="231" t="str">
        <f t="shared" si="2"/>
        <v>mar</v>
      </c>
      <c r="C110" s="146" t="s">
        <v>116</v>
      </c>
      <c r="D110" s="146" t="s">
        <v>169</v>
      </c>
      <c r="E110" s="231" t="str">
        <f>IFERROR(INDEX(Servicios!$B:$B,MATCH($D110,Servicios!$A:$A,0)),"")</f>
        <v>Depilación de cejas</v>
      </c>
      <c r="F110" s="146" t="s">
        <v>235</v>
      </c>
      <c r="G110" s="146" t="s">
        <v>236</v>
      </c>
      <c r="H110" s="230">
        <f>IFERROR(INDEX(Servicios!$D:$D,MATCH($D110,Servicios!$A:$A,0)),0)</f>
        <v>20</v>
      </c>
      <c r="I110" s="226">
        <f>IFERROR(INDEX(Servicios!$E:$E,MATCH($D110,Servicios!$A:$A,0)),0)</f>
        <v>18000</v>
      </c>
      <c r="J110" s="148">
        <v>0.1</v>
      </c>
      <c r="K110" s="226">
        <f t="shared" si="3"/>
        <v>16200</v>
      </c>
      <c r="L110" s="226">
        <f>IFERROR(K110*IFERROR(INDEX(Servicios!$G:$G,MATCH($D110,Servicios!$A:$A,0)),0),0)</f>
        <v>4050</v>
      </c>
      <c r="M110" s="226">
        <f>IFERROR(K110-L110-IFERROR(INDEX(Servicios!$F:$F,MATCH($D110,Servicios!$A:$A,0)),0),0)</f>
        <v>10525</v>
      </c>
    </row>
    <row r="111" spans="1:13" ht="15" customHeight="1" x14ac:dyDescent="0.3">
      <c r="A111" s="164">
        <v>46225</v>
      </c>
      <c r="B111" s="231" t="str">
        <f t="shared" si="2"/>
        <v>mié</v>
      </c>
      <c r="C111" s="146" t="s">
        <v>110</v>
      </c>
      <c r="D111" s="146" t="s">
        <v>146</v>
      </c>
      <c r="E111" s="231" t="str">
        <f>IFERROR(INDEX(Servicios!$B:$B,MATCH($D111,Servicios!$A:$A,0)),"")</f>
        <v>Corte niño</v>
      </c>
      <c r="F111" s="146" t="s">
        <v>243</v>
      </c>
      <c r="G111" s="146" t="s">
        <v>41</v>
      </c>
      <c r="H111" s="230">
        <f>IFERROR(INDEX(Servicios!$D:$D,MATCH($D111,Servicios!$A:$A,0)),0)</f>
        <v>25</v>
      </c>
      <c r="I111" s="226">
        <f>IFERROR(INDEX(Servicios!$E:$E,MATCH($D111,Servicios!$A:$A,0)),0)</f>
        <v>22000</v>
      </c>
      <c r="J111" s="156"/>
      <c r="K111" s="226">
        <f t="shared" si="3"/>
        <v>22000</v>
      </c>
      <c r="L111" s="226">
        <f>IFERROR(K111*IFERROR(INDEX(Servicios!$G:$G,MATCH($D111,Servicios!$A:$A,0)),0),0)</f>
        <v>6160.0000000000009</v>
      </c>
      <c r="M111" s="226">
        <f>IFERROR(K111-L111-IFERROR(INDEX(Servicios!$F:$F,MATCH($D111,Servicios!$A:$A,0)),0),0)</f>
        <v>15840</v>
      </c>
    </row>
    <row r="112" spans="1:13" ht="15" customHeight="1" x14ac:dyDescent="0.3">
      <c r="A112" s="164">
        <v>46225</v>
      </c>
      <c r="B112" s="231" t="str">
        <f t="shared" si="2"/>
        <v>mié</v>
      </c>
      <c r="C112" s="146" t="s">
        <v>113</v>
      </c>
      <c r="D112" s="146" t="s">
        <v>148</v>
      </c>
      <c r="E112" s="231" t="str">
        <f>IFERROR(INDEX(Servicios!$B:$B,MATCH($D112,Servicios!$A:$A,0)),"")</f>
        <v>Barba y perfilado</v>
      </c>
      <c r="F112" s="146" t="s">
        <v>273</v>
      </c>
      <c r="G112" s="146" t="s">
        <v>41</v>
      </c>
      <c r="H112" s="230">
        <f>IFERROR(INDEX(Servicios!$D:$D,MATCH($D112,Servicios!$A:$A,0)),0)</f>
        <v>25</v>
      </c>
      <c r="I112" s="226">
        <f>IFERROR(INDEX(Servicios!$E:$E,MATCH($D112,Servicios!$A:$A,0)),0)</f>
        <v>20000</v>
      </c>
      <c r="J112" s="156"/>
      <c r="K112" s="226">
        <f t="shared" si="3"/>
        <v>20000</v>
      </c>
      <c r="L112" s="226">
        <f>IFERROR(K112*IFERROR(INDEX(Servicios!$G:$G,MATCH($D112,Servicios!$A:$A,0)),0),0)</f>
        <v>6400</v>
      </c>
      <c r="M112" s="226">
        <f>IFERROR(K112-L112-IFERROR(INDEX(Servicios!$F:$F,MATCH($D112,Servicios!$A:$A,0)),0),0)</f>
        <v>13600</v>
      </c>
    </row>
    <row r="113" spans="1:13" ht="15" customHeight="1" x14ac:dyDescent="0.3">
      <c r="A113" s="164">
        <v>46225</v>
      </c>
      <c r="B113" s="231" t="str">
        <f t="shared" si="2"/>
        <v>mié</v>
      </c>
      <c r="C113" s="146" t="s">
        <v>113</v>
      </c>
      <c r="D113" s="146" t="s">
        <v>148</v>
      </c>
      <c r="E113" s="231" t="str">
        <f>IFERROR(INDEX(Servicios!$B:$B,MATCH($D113,Servicios!$A:$A,0)),"")</f>
        <v>Barba y perfilado</v>
      </c>
      <c r="F113" s="146" t="s">
        <v>270</v>
      </c>
      <c r="G113" s="146" t="s">
        <v>43</v>
      </c>
      <c r="H113" s="230">
        <f>IFERROR(INDEX(Servicios!$D:$D,MATCH($D113,Servicios!$A:$A,0)),0)</f>
        <v>25</v>
      </c>
      <c r="I113" s="226">
        <f>IFERROR(INDEX(Servicios!$E:$E,MATCH($D113,Servicios!$A:$A,0)),0)</f>
        <v>20000</v>
      </c>
      <c r="J113" s="156"/>
      <c r="K113" s="226">
        <f t="shared" si="3"/>
        <v>20000</v>
      </c>
      <c r="L113" s="226">
        <f>IFERROR(K113*IFERROR(INDEX(Servicios!$G:$G,MATCH($D113,Servicios!$A:$A,0)),0),0)</f>
        <v>6400</v>
      </c>
      <c r="M113" s="226">
        <f>IFERROR(K113-L113-IFERROR(INDEX(Servicios!$F:$F,MATCH($D113,Servicios!$A:$A,0)),0),0)</f>
        <v>13600</v>
      </c>
    </row>
    <row r="114" spans="1:13" ht="15" customHeight="1" x14ac:dyDescent="0.3">
      <c r="A114" s="164">
        <v>46225</v>
      </c>
      <c r="B114" s="231" t="str">
        <f t="shared" si="2"/>
        <v>mié</v>
      </c>
      <c r="C114" s="146" t="s">
        <v>113</v>
      </c>
      <c r="D114" s="146" t="s">
        <v>151</v>
      </c>
      <c r="E114" s="231" t="str">
        <f>IFERROR(INDEX(Servicios!$B:$B,MATCH($D114,Servicios!$A:$A,0)),"")</f>
        <v>Corte caballero + barba</v>
      </c>
      <c r="F114" s="146" t="s">
        <v>245</v>
      </c>
      <c r="G114" s="146" t="s">
        <v>43</v>
      </c>
      <c r="H114" s="230">
        <f>IFERROR(INDEX(Servicios!$D:$D,MATCH($D114,Servicios!$A:$A,0)),0)</f>
        <v>50</v>
      </c>
      <c r="I114" s="226">
        <f>IFERROR(INDEX(Servicios!$E:$E,MATCH($D114,Servicios!$A:$A,0)),0)</f>
        <v>42000</v>
      </c>
      <c r="J114" s="156"/>
      <c r="K114" s="226">
        <f t="shared" si="3"/>
        <v>42000</v>
      </c>
      <c r="L114" s="226">
        <f>IFERROR(K114*IFERROR(INDEX(Servicios!$G:$G,MATCH($D114,Servicios!$A:$A,0)),0),0)</f>
        <v>13440</v>
      </c>
      <c r="M114" s="226">
        <f>IFERROR(K114-L114-IFERROR(INDEX(Servicios!$F:$F,MATCH($D114,Servicios!$A:$A,0)),0),0)</f>
        <v>28560</v>
      </c>
    </row>
    <row r="115" spans="1:13" ht="15" customHeight="1" x14ac:dyDescent="0.3">
      <c r="A115" s="164">
        <v>46225</v>
      </c>
      <c r="B115" s="231" t="str">
        <f t="shared" si="2"/>
        <v>mié</v>
      </c>
      <c r="C115" s="146" t="s">
        <v>104</v>
      </c>
      <c r="D115" s="146" t="s">
        <v>157</v>
      </c>
      <c r="E115" s="231" t="str">
        <f>IFERROR(INDEX(Servicios!$B:$B,MATCH($D115,Servicios!$A:$A,0)),"")</f>
        <v>Hidratación profunda</v>
      </c>
      <c r="F115" s="146" t="s">
        <v>246</v>
      </c>
      <c r="G115" s="146" t="s">
        <v>236</v>
      </c>
      <c r="H115" s="230">
        <f>IFERROR(INDEX(Servicios!$D:$D,MATCH($D115,Servicios!$A:$A,0)),0)</f>
        <v>45</v>
      </c>
      <c r="I115" s="226">
        <f>IFERROR(INDEX(Servicios!$E:$E,MATCH($D115,Servicios!$A:$A,0)),0)</f>
        <v>65000</v>
      </c>
      <c r="J115" s="156"/>
      <c r="K115" s="226">
        <f t="shared" si="3"/>
        <v>65000</v>
      </c>
      <c r="L115" s="226">
        <f>IFERROR(K115*IFERROR(INDEX(Servicios!$G:$G,MATCH($D115,Servicios!$A:$A,0)),0),0)</f>
        <v>19500</v>
      </c>
      <c r="M115" s="226">
        <f>IFERROR(K115-L115-IFERROR(INDEX(Servicios!$F:$F,MATCH($D115,Servicios!$A:$A,0)),0),0)</f>
        <v>39900</v>
      </c>
    </row>
    <row r="116" spans="1:13" ht="15" customHeight="1" x14ac:dyDescent="0.3">
      <c r="A116" s="164">
        <v>46225</v>
      </c>
      <c r="B116" s="231" t="str">
        <f t="shared" si="2"/>
        <v>mié</v>
      </c>
      <c r="C116" s="146" t="s">
        <v>110</v>
      </c>
      <c r="D116" s="146" t="s">
        <v>169</v>
      </c>
      <c r="E116" s="231" t="str">
        <f>IFERROR(INDEX(Servicios!$B:$B,MATCH($D116,Servicios!$A:$A,0)),"")</f>
        <v>Depilación de cejas</v>
      </c>
      <c r="F116" s="146" t="s">
        <v>225</v>
      </c>
      <c r="G116" s="146" t="s">
        <v>43</v>
      </c>
      <c r="H116" s="230">
        <f>IFERROR(INDEX(Servicios!$D:$D,MATCH($D116,Servicios!$A:$A,0)),0)</f>
        <v>20</v>
      </c>
      <c r="I116" s="226">
        <f>IFERROR(INDEX(Servicios!$E:$E,MATCH($D116,Servicios!$A:$A,0)),0)</f>
        <v>18000</v>
      </c>
      <c r="J116" s="156"/>
      <c r="K116" s="226">
        <f t="shared" si="3"/>
        <v>18000</v>
      </c>
      <c r="L116" s="226">
        <f>IFERROR(K116*IFERROR(INDEX(Servicios!$G:$G,MATCH($D116,Servicios!$A:$A,0)),0),0)</f>
        <v>4500</v>
      </c>
      <c r="M116" s="226">
        <f>IFERROR(K116-L116-IFERROR(INDEX(Servicios!$F:$F,MATCH($D116,Servicios!$A:$A,0)),0),0)</f>
        <v>11875</v>
      </c>
    </row>
    <row r="117" spans="1:13" ht="15" customHeight="1" x14ac:dyDescent="0.3">
      <c r="A117" s="164">
        <v>46225</v>
      </c>
      <c r="B117" s="231" t="str">
        <f t="shared" si="2"/>
        <v>mié</v>
      </c>
      <c r="C117" s="146" t="s">
        <v>110</v>
      </c>
      <c r="D117" s="146" t="s">
        <v>169</v>
      </c>
      <c r="E117" s="231" t="str">
        <f>IFERROR(INDEX(Servicios!$B:$B,MATCH($D117,Servicios!$A:$A,0)),"")</f>
        <v>Depilación de cejas</v>
      </c>
      <c r="F117" s="146" t="s">
        <v>239</v>
      </c>
      <c r="G117" s="146" t="s">
        <v>41</v>
      </c>
      <c r="H117" s="230">
        <f>IFERROR(INDEX(Servicios!$D:$D,MATCH($D117,Servicios!$A:$A,0)),0)</f>
        <v>20</v>
      </c>
      <c r="I117" s="226">
        <f>IFERROR(INDEX(Servicios!$E:$E,MATCH($D117,Servicios!$A:$A,0)),0)</f>
        <v>18000</v>
      </c>
      <c r="J117" s="156"/>
      <c r="K117" s="226">
        <f t="shared" si="3"/>
        <v>18000</v>
      </c>
      <c r="L117" s="226">
        <f>IFERROR(K117*IFERROR(INDEX(Servicios!$G:$G,MATCH($D117,Servicios!$A:$A,0)),0),0)</f>
        <v>4500</v>
      </c>
      <c r="M117" s="226">
        <f>IFERROR(K117-L117-IFERROR(INDEX(Servicios!$F:$F,MATCH($D117,Servicios!$A:$A,0)),0),0)</f>
        <v>11875</v>
      </c>
    </row>
    <row r="118" spans="1:13" ht="15" customHeight="1" x14ac:dyDescent="0.3">
      <c r="A118" s="164">
        <v>46226</v>
      </c>
      <c r="B118" s="231" t="str">
        <f t="shared" si="2"/>
        <v>jue</v>
      </c>
      <c r="C118" s="146" t="s">
        <v>110</v>
      </c>
      <c r="D118" s="146" t="s">
        <v>146</v>
      </c>
      <c r="E118" s="231" t="str">
        <f>IFERROR(INDEX(Servicios!$B:$B,MATCH($D118,Servicios!$A:$A,0)),"")</f>
        <v>Corte niño</v>
      </c>
      <c r="F118" s="146" t="s">
        <v>260</v>
      </c>
      <c r="G118" s="146" t="s">
        <v>43</v>
      </c>
      <c r="H118" s="230">
        <f>IFERROR(INDEX(Servicios!$D:$D,MATCH($D118,Servicios!$A:$A,0)),0)</f>
        <v>25</v>
      </c>
      <c r="I118" s="226">
        <f>IFERROR(INDEX(Servicios!$E:$E,MATCH($D118,Servicios!$A:$A,0)),0)</f>
        <v>22000</v>
      </c>
      <c r="J118" s="156"/>
      <c r="K118" s="226">
        <f t="shared" si="3"/>
        <v>22000</v>
      </c>
      <c r="L118" s="226">
        <f>IFERROR(K118*IFERROR(INDEX(Servicios!$G:$G,MATCH($D118,Servicios!$A:$A,0)),0),0)</f>
        <v>6160.0000000000009</v>
      </c>
      <c r="M118" s="226">
        <f>IFERROR(K118-L118-IFERROR(INDEX(Servicios!$F:$F,MATCH($D118,Servicios!$A:$A,0)),0),0)</f>
        <v>15840</v>
      </c>
    </row>
    <row r="119" spans="1:13" ht="15" customHeight="1" x14ac:dyDescent="0.3">
      <c r="A119" s="164">
        <v>46226</v>
      </c>
      <c r="B119" s="231" t="str">
        <f t="shared" si="2"/>
        <v>jue</v>
      </c>
      <c r="C119" s="146" t="s">
        <v>110</v>
      </c>
      <c r="D119" s="146" t="s">
        <v>146</v>
      </c>
      <c r="E119" s="231" t="str">
        <f>IFERROR(INDEX(Servicios!$B:$B,MATCH($D119,Servicios!$A:$A,0)),"")</f>
        <v>Corte niño</v>
      </c>
      <c r="F119" s="146" t="s">
        <v>245</v>
      </c>
      <c r="G119" s="146" t="s">
        <v>236</v>
      </c>
      <c r="H119" s="230">
        <f>IFERROR(INDEX(Servicios!$D:$D,MATCH($D119,Servicios!$A:$A,0)),0)</f>
        <v>25</v>
      </c>
      <c r="I119" s="226">
        <f>IFERROR(INDEX(Servicios!$E:$E,MATCH($D119,Servicios!$A:$A,0)),0)</f>
        <v>22000</v>
      </c>
      <c r="J119" s="148">
        <v>0.15</v>
      </c>
      <c r="K119" s="226">
        <f t="shared" si="3"/>
        <v>18700</v>
      </c>
      <c r="L119" s="226">
        <f>IFERROR(K119*IFERROR(INDEX(Servicios!$G:$G,MATCH($D119,Servicios!$A:$A,0)),0),0)</f>
        <v>5236.0000000000009</v>
      </c>
      <c r="M119" s="226">
        <f>IFERROR(K119-L119-IFERROR(INDEX(Servicios!$F:$F,MATCH($D119,Servicios!$A:$A,0)),0),0)</f>
        <v>13464</v>
      </c>
    </row>
    <row r="120" spans="1:13" ht="15" customHeight="1" x14ac:dyDescent="0.3">
      <c r="A120" s="164">
        <v>46226</v>
      </c>
      <c r="B120" s="231" t="str">
        <f t="shared" si="2"/>
        <v>jue</v>
      </c>
      <c r="C120" s="146" t="s">
        <v>113</v>
      </c>
      <c r="D120" s="146" t="s">
        <v>146</v>
      </c>
      <c r="E120" s="231" t="str">
        <f>IFERROR(INDEX(Servicios!$B:$B,MATCH($D120,Servicios!$A:$A,0)),"")</f>
        <v>Corte niño</v>
      </c>
      <c r="F120" s="146" t="s">
        <v>263</v>
      </c>
      <c r="G120" s="146" t="s">
        <v>43</v>
      </c>
      <c r="H120" s="230">
        <f>IFERROR(INDEX(Servicios!$D:$D,MATCH($D120,Servicios!$A:$A,0)),0)</f>
        <v>25</v>
      </c>
      <c r="I120" s="226">
        <f>IFERROR(INDEX(Servicios!$E:$E,MATCH($D120,Servicios!$A:$A,0)),0)</f>
        <v>22000</v>
      </c>
      <c r="J120" s="148">
        <v>0.1</v>
      </c>
      <c r="K120" s="226">
        <f t="shared" si="3"/>
        <v>19800</v>
      </c>
      <c r="L120" s="226">
        <f>IFERROR(K120*IFERROR(INDEX(Servicios!$G:$G,MATCH($D120,Servicios!$A:$A,0)),0),0)</f>
        <v>5544.0000000000009</v>
      </c>
      <c r="M120" s="226">
        <f>IFERROR(K120-L120-IFERROR(INDEX(Servicios!$F:$F,MATCH($D120,Servicios!$A:$A,0)),0),0)</f>
        <v>14256</v>
      </c>
    </row>
    <row r="121" spans="1:13" ht="15" customHeight="1" x14ac:dyDescent="0.3">
      <c r="A121" s="164">
        <v>46226</v>
      </c>
      <c r="B121" s="231" t="str">
        <f t="shared" si="2"/>
        <v>jue</v>
      </c>
      <c r="C121" s="146" t="s">
        <v>113</v>
      </c>
      <c r="D121" s="146" t="s">
        <v>151</v>
      </c>
      <c r="E121" s="231" t="str">
        <f>IFERROR(INDEX(Servicios!$B:$B,MATCH($D121,Servicios!$A:$A,0)),"")</f>
        <v>Corte caballero + barba</v>
      </c>
      <c r="F121" s="146" t="s">
        <v>255</v>
      </c>
      <c r="G121" s="146" t="s">
        <v>45</v>
      </c>
      <c r="H121" s="230">
        <f>IFERROR(INDEX(Servicios!$D:$D,MATCH($D121,Servicios!$A:$A,0)),0)</f>
        <v>50</v>
      </c>
      <c r="I121" s="226">
        <f>IFERROR(INDEX(Servicios!$E:$E,MATCH($D121,Servicios!$A:$A,0)),0)</f>
        <v>42000</v>
      </c>
      <c r="J121" s="156"/>
      <c r="K121" s="226">
        <f t="shared" si="3"/>
        <v>42000</v>
      </c>
      <c r="L121" s="226">
        <f>IFERROR(K121*IFERROR(INDEX(Servicios!$G:$G,MATCH($D121,Servicios!$A:$A,0)),0),0)</f>
        <v>13440</v>
      </c>
      <c r="M121" s="226">
        <f>IFERROR(K121-L121-IFERROR(INDEX(Servicios!$F:$F,MATCH($D121,Servicios!$A:$A,0)),0),0)</f>
        <v>28560</v>
      </c>
    </row>
    <row r="122" spans="1:13" ht="15" customHeight="1" x14ac:dyDescent="0.3">
      <c r="A122" s="164">
        <v>46226</v>
      </c>
      <c r="B122" s="231" t="str">
        <f t="shared" si="2"/>
        <v>jue</v>
      </c>
      <c r="C122" s="146" t="s">
        <v>98</v>
      </c>
      <c r="D122" s="146" t="s">
        <v>159</v>
      </c>
      <c r="E122" s="231" t="str">
        <f>IFERROR(INDEX(Servicios!$B:$B,MATCH($D122,Servicios!$A:$A,0)),"")</f>
        <v>Tratamiento anticaída</v>
      </c>
      <c r="F122" s="146" t="s">
        <v>272</v>
      </c>
      <c r="G122" s="146" t="s">
        <v>236</v>
      </c>
      <c r="H122" s="230">
        <f>IFERROR(INDEX(Servicios!$D:$D,MATCH($D122,Servicios!$A:$A,0)),0)</f>
        <v>40</v>
      </c>
      <c r="I122" s="226">
        <f>IFERROR(INDEX(Servicios!$E:$E,MATCH($D122,Servicios!$A:$A,0)),0)</f>
        <v>72000</v>
      </c>
      <c r="J122" s="156"/>
      <c r="K122" s="226">
        <f t="shared" si="3"/>
        <v>72000</v>
      </c>
      <c r="L122" s="226">
        <f>IFERROR(K122*IFERROR(INDEX(Servicios!$G:$G,MATCH($D122,Servicios!$A:$A,0)),0),0)</f>
        <v>21600</v>
      </c>
      <c r="M122" s="226">
        <f>IFERROR(K122-L122-IFERROR(INDEX(Servicios!$F:$F,MATCH($D122,Servicios!$A:$A,0)),0),0)</f>
        <v>39900</v>
      </c>
    </row>
    <row r="123" spans="1:13" ht="15" customHeight="1" x14ac:dyDescent="0.3">
      <c r="A123" s="164">
        <v>46226</v>
      </c>
      <c r="B123" s="231" t="str">
        <f t="shared" si="2"/>
        <v>jue</v>
      </c>
      <c r="C123" s="146" t="s">
        <v>116</v>
      </c>
      <c r="D123" s="146" t="s">
        <v>161</v>
      </c>
      <c r="E123" s="231" t="str">
        <f>IFERROR(INDEX(Servicios!$B:$B,MATCH($D123,Servicios!$A:$A,0)),"")</f>
        <v>Manicure semipermanente</v>
      </c>
      <c r="F123" s="146" t="s">
        <v>269</v>
      </c>
      <c r="G123" s="146" t="s">
        <v>43</v>
      </c>
      <c r="H123" s="230">
        <f>IFERROR(INDEX(Servicios!$D:$D,MATCH($D123,Servicios!$A:$A,0)),0)</f>
        <v>60</v>
      </c>
      <c r="I123" s="226">
        <f>IFERROR(INDEX(Servicios!$E:$E,MATCH($D123,Servicios!$A:$A,0)),0)</f>
        <v>55000</v>
      </c>
      <c r="J123" s="156"/>
      <c r="K123" s="226">
        <f t="shared" si="3"/>
        <v>55000</v>
      </c>
      <c r="L123" s="226">
        <f>IFERROR(K123*IFERROR(INDEX(Servicios!$G:$G,MATCH($D123,Servicios!$A:$A,0)),0),0)</f>
        <v>15400.000000000002</v>
      </c>
      <c r="M123" s="226">
        <f>IFERROR(K123-L123-IFERROR(INDEX(Servicios!$F:$F,MATCH($D123,Servicios!$A:$A,0)),0),0)</f>
        <v>31460</v>
      </c>
    </row>
    <row r="124" spans="1:13" ht="15" customHeight="1" x14ac:dyDescent="0.3">
      <c r="A124" s="164">
        <v>46226</v>
      </c>
      <c r="B124" s="231" t="str">
        <f t="shared" si="2"/>
        <v>jue</v>
      </c>
      <c r="C124" s="146" t="s">
        <v>116</v>
      </c>
      <c r="D124" s="146" t="s">
        <v>161</v>
      </c>
      <c r="E124" s="231" t="str">
        <f>IFERROR(INDEX(Servicios!$B:$B,MATCH($D124,Servicios!$A:$A,0)),"")</f>
        <v>Manicure semipermanente</v>
      </c>
      <c r="F124" s="146" t="s">
        <v>265</v>
      </c>
      <c r="G124" s="146" t="s">
        <v>41</v>
      </c>
      <c r="H124" s="230">
        <f>IFERROR(INDEX(Servicios!$D:$D,MATCH($D124,Servicios!$A:$A,0)),0)</f>
        <v>60</v>
      </c>
      <c r="I124" s="226">
        <f>IFERROR(INDEX(Servicios!$E:$E,MATCH($D124,Servicios!$A:$A,0)),0)</f>
        <v>55000</v>
      </c>
      <c r="J124" s="156"/>
      <c r="K124" s="226">
        <f t="shared" si="3"/>
        <v>55000</v>
      </c>
      <c r="L124" s="226">
        <f>IFERROR(K124*IFERROR(INDEX(Servicios!$G:$G,MATCH($D124,Servicios!$A:$A,0)),0),0)</f>
        <v>15400.000000000002</v>
      </c>
      <c r="M124" s="226">
        <f>IFERROR(K124-L124-IFERROR(INDEX(Servicios!$F:$F,MATCH($D124,Servicios!$A:$A,0)),0),0)</f>
        <v>31460</v>
      </c>
    </row>
    <row r="125" spans="1:13" ht="15" customHeight="1" x14ac:dyDescent="0.3">
      <c r="A125" s="164">
        <v>46226</v>
      </c>
      <c r="B125" s="231" t="str">
        <f t="shared" si="2"/>
        <v>jue</v>
      </c>
      <c r="C125" s="146" t="s">
        <v>116</v>
      </c>
      <c r="D125" s="146" t="s">
        <v>163</v>
      </c>
      <c r="E125" s="231" t="str">
        <f>IFERROR(INDEX(Servicios!$B:$B,MATCH($D125,Servicios!$A:$A,0)),"")</f>
        <v>Pedicure spa</v>
      </c>
      <c r="F125" s="146" t="s">
        <v>248</v>
      </c>
      <c r="G125" s="146" t="s">
        <v>45</v>
      </c>
      <c r="H125" s="230">
        <f>IFERROR(INDEX(Servicios!$D:$D,MATCH($D125,Servicios!$A:$A,0)),0)</f>
        <v>70</v>
      </c>
      <c r="I125" s="226">
        <f>IFERROR(INDEX(Servicios!$E:$E,MATCH($D125,Servicios!$A:$A,0)),0)</f>
        <v>62000</v>
      </c>
      <c r="J125" s="156"/>
      <c r="K125" s="226">
        <f t="shared" si="3"/>
        <v>62000</v>
      </c>
      <c r="L125" s="226">
        <f>IFERROR(K125*IFERROR(INDEX(Servicios!$G:$G,MATCH($D125,Servicios!$A:$A,0)),0),0)</f>
        <v>17360</v>
      </c>
      <c r="M125" s="226">
        <f>IFERROR(K125-L125-IFERROR(INDEX(Servicios!$F:$F,MATCH($D125,Servicios!$A:$A,0)),0),0)</f>
        <v>38265</v>
      </c>
    </row>
    <row r="126" spans="1:13" ht="15" customHeight="1" x14ac:dyDescent="0.3">
      <c r="A126" s="164">
        <v>46226</v>
      </c>
      <c r="B126" s="231" t="str">
        <f t="shared" si="2"/>
        <v>jue</v>
      </c>
      <c r="C126" s="146" t="s">
        <v>116</v>
      </c>
      <c r="D126" s="146" t="s">
        <v>169</v>
      </c>
      <c r="E126" s="231" t="str">
        <f>IFERROR(INDEX(Servicios!$B:$B,MATCH($D126,Servicios!$A:$A,0)),"")</f>
        <v>Depilación de cejas</v>
      </c>
      <c r="F126" s="146" t="s">
        <v>274</v>
      </c>
      <c r="G126" s="146" t="s">
        <v>45</v>
      </c>
      <c r="H126" s="230">
        <f>IFERROR(INDEX(Servicios!$D:$D,MATCH($D126,Servicios!$A:$A,0)),0)</f>
        <v>20</v>
      </c>
      <c r="I126" s="226">
        <f>IFERROR(INDEX(Servicios!$E:$E,MATCH($D126,Servicios!$A:$A,0)),0)</f>
        <v>18000</v>
      </c>
      <c r="J126" s="148">
        <v>0.1</v>
      </c>
      <c r="K126" s="226">
        <f t="shared" si="3"/>
        <v>16200</v>
      </c>
      <c r="L126" s="226">
        <f>IFERROR(K126*IFERROR(INDEX(Servicios!$G:$G,MATCH($D126,Servicios!$A:$A,0)),0),0)</f>
        <v>4050</v>
      </c>
      <c r="M126" s="226">
        <f>IFERROR(K126-L126-IFERROR(INDEX(Servicios!$F:$F,MATCH($D126,Servicios!$A:$A,0)),0),0)</f>
        <v>10525</v>
      </c>
    </row>
    <row r="127" spans="1:13" ht="15" customHeight="1" x14ac:dyDescent="0.3">
      <c r="A127" s="164">
        <v>46227</v>
      </c>
      <c r="B127" s="231" t="str">
        <f t="shared" si="2"/>
        <v>vie</v>
      </c>
      <c r="C127" s="146" t="s">
        <v>113</v>
      </c>
      <c r="D127" s="146" t="s">
        <v>146</v>
      </c>
      <c r="E127" s="231" t="str">
        <f>IFERROR(INDEX(Servicios!$B:$B,MATCH($D127,Servicios!$A:$A,0)),"")</f>
        <v>Corte niño</v>
      </c>
      <c r="F127" s="146" t="s">
        <v>229</v>
      </c>
      <c r="G127" s="146" t="s">
        <v>45</v>
      </c>
      <c r="H127" s="230">
        <f>IFERROR(INDEX(Servicios!$D:$D,MATCH($D127,Servicios!$A:$A,0)),0)</f>
        <v>25</v>
      </c>
      <c r="I127" s="226">
        <f>IFERROR(INDEX(Servicios!$E:$E,MATCH($D127,Servicios!$A:$A,0)),0)</f>
        <v>22000</v>
      </c>
      <c r="J127" s="156"/>
      <c r="K127" s="226">
        <f t="shared" si="3"/>
        <v>22000</v>
      </c>
      <c r="L127" s="226">
        <f>IFERROR(K127*IFERROR(INDEX(Servicios!$G:$G,MATCH($D127,Servicios!$A:$A,0)),0),0)</f>
        <v>6160.0000000000009</v>
      </c>
      <c r="M127" s="226">
        <f>IFERROR(K127-L127-IFERROR(INDEX(Servicios!$F:$F,MATCH($D127,Servicios!$A:$A,0)),0),0)</f>
        <v>15840</v>
      </c>
    </row>
    <row r="128" spans="1:13" ht="15" customHeight="1" x14ac:dyDescent="0.3">
      <c r="A128" s="164">
        <v>46227</v>
      </c>
      <c r="B128" s="231" t="str">
        <f t="shared" si="2"/>
        <v>vie</v>
      </c>
      <c r="C128" s="146" t="s">
        <v>113</v>
      </c>
      <c r="D128" s="146" t="s">
        <v>148</v>
      </c>
      <c r="E128" s="231" t="str">
        <f>IFERROR(INDEX(Servicios!$B:$B,MATCH($D128,Servicios!$A:$A,0)),"")</f>
        <v>Barba y perfilado</v>
      </c>
      <c r="F128" s="146" t="s">
        <v>250</v>
      </c>
      <c r="G128" s="146" t="s">
        <v>43</v>
      </c>
      <c r="H128" s="230">
        <f>IFERROR(INDEX(Servicios!$D:$D,MATCH($D128,Servicios!$A:$A,0)),0)</f>
        <v>25</v>
      </c>
      <c r="I128" s="226">
        <f>IFERROR(INDEX(Servicios!$E:$E,MATCH($D128,Servicios!$A:$A,0)),0)</f>
        <v>20000</v>
      </c>
      <c r="J128" s="156"/>
      <c r="K128" s="226">
        <f t="shared" si="3"/>
        <v>20000</v>
      </c>
      <c r="L128" s="226">
        <f>IFERROR(K128*IFERROR(INDEX(Servicios!$G:$G,MATCH($D128,Servicios!$A:$A,0)),0),0)</f>
        <v>6400</v>
      </c>
      <c r="M128" s="226">
        <f>IFERROR(K128-L128-IFERROR(INDEX(Servicios!$F:$F,MATCH($D128,Servicios!$A:$A,0)),0),0)</f>
        <v>13600</v>
      </c>
    </row>
    <row r="129" spans="1:13" ht="15" customHeight="1" x14ac:dyDescent="0.3">
      <c r="A129" s="164">
        <v>46227</v>
      </c>
      <c r="B129" s="231" t="str">
        <f t="shared" si="2"/>
        <v>vie</v>
      </c>
      <c r="C129" s="146" t="s">
        <v>113</v>
      </c>
      <c r="D129" s="146" t="s">
        <v>151</v>
      </c>
      <c r="E129" s="231" t="str">
        <f>IFERROR(INDEX(Servicios!$B:$B,MATCH($D129,Servicios!$A:$A,0)),"")</f>
        <v>Corte caballero + barba</v>
      </c>
      <c r="F129" s="146" t="s">
        <v>275</v>
      </c>
      <c r="G129" s="146" t="s">
        <v>43</v>
      </c>
      <c r="H129" s="230">
        <f>IFERROR(INDEX(Servicios!$D:$D,MATCH($D129,Servicios!$A:$A,0)),0)</f>
        <v>50</v>
      </c>
      <c r="I129" s="226">
        <f>IFERROR(INDEX(Servicios!$E:$E,MATCH($D129,Servicios!$A:$A,0)),0)</f>
        <v>42000</v>
      </c>
      <c r="J129" s="148">
        <v>0.1</v>
      </c>
      <c r="K129" s="226">
        <f t="shared" si="3"/>
        <v>37800</v>
      </c>
      <c r="L129" s="226">
        <f>IFERROR(K129*IFERROR(INDEX(Servicios!$G:$G,MATCH($D129,Servicios!$A:$A,0)),0),0)</f>
        <v>12096</v>
      </c>
      <c r="M129" s="226">
        <f>IFERROR(K129-L129-IFERROR(INDEX(Servicios!$F:$F,MATCH($D129,Servicios!$A:$A,0)),0),0)</f>
        <v>25704</v>
      </c>
    </row>
    <row r="130" spans="1:13" ht="15" customHeight="1" x14ac:dyDescent="0.3">
      <c r="A130" s="164">
        <v>46227</v>
      </c>
      <c r="B130" s="231" t="str">
        <f t="shared" si="2"/>
        <v>vie</v>
      </c>
      <c r="C130" s="146" t="s">
        <v>110</v>
      </c>
      <c r="D130" s="146" t="s">
        <v>169</v>
      </c>
      <c r="E130" s="231" t="str">
        <f>IFERROR(INDEX(Servicios!$B:$B,MATCH($D130,Servicios!$A:$A,0)),"")</f>
        <v>Depilación de cejas</v>
      </c>
      <c r="F130" s="146" t="s">
        <v>229</v>
      </c>
      <c r="G130" s="146" t="s">
        <v>45</v>
      </c>
      <c r="H130" s="230">
        <f>IFERROR(INDEX(Servicios!$D:$D,MATCH($D130,Servicios!$A:$A,0)),0)</f>
        <v>20</v>
      </c>
      <c r="I130" s="226">
        <f>IFERROR(INDEX(Servicios!$E:$E,MATCH($D130,Servicios!$A:$A,0)),0)</f>
        <v>18000</v>
      </c>
      <c r="J130" s="156"/>
      <c r="K130" s="226">
        <f t="shared" si="3"/>
        <v>18000</v>
      </c>
      <c r="L130" s="226">
        <f>IFERROR(K130*IFERROR(INDEX(Servicios!$G:$G,MATCH($D130,Servicios!$A:$A,0)),0),0)</f>
        <v>4500</v>
      </c>
      <c r="M130" s="226">
        <f>IFERROR(K130-L130-IFERROR(INDEX(Servicios!$F:$F,MATCH($D130,Servicios!$A:$A,0)),0),0)</f>
        <v>11875</v>
      </c>
    </row>
    <row r="131" spans="1:13" ht="15" customHeight="1" x14ac:dyDescent="0.3">
      <c r="A131" s="164">
        <v>46228</v>
      </c>
      <c r="B131" s="231" t="str">
        <f t="shared" si="2"/>
        <v>sáb</v>
      </c>
      <c r="C131" s="146" t="s">
        <v>113</v>
      </c>
      <c r="D131" s="146" t="s">
        <v>148</v>
      </c>
      <c r="E131" s="231" t="str">
        <f>IFERROR(INDEX(Servicios!$B:$B,MATCH($D131,Servicios!$A:$A,0)),"")</f>
        <v>Barba y perfilado</v>
      </c>
      <c r="F131" s="146" t="s">
        <v>243</v>
      </c>
      <c r="G131" s="146" t="s">
        <v>43</v>
      </c>
      <c r="H131" s="230">
        <f>IFERROR(INDEX(Servicios!$D:$D,MATCH($D131,Servicios!$A:$A,0)),0)</f>
        <v>25</v>
      </c>
      <c r="I131" s="226">
        <f>IFERROR(INDEX(Servicios!$E:$E,MATCH($D131,Servicios!$A:$A,0)),0)</f>
        <v>20000</v>
      </c>
      <c r="J131" s="148">
        <v>0.15</v>
      </c>
      <c r="K131" s="226">
        <f t="shared" si="3"/>
        <v>17000</v>
      </c>
      <c r="L131" s="226">
        <f>IFERROR(K131*IFERROR(INDEX(Servicios!$G:$G,MATCH($D131,Servicios!$A:$A,0)),0),0)</f>
        <v>5440</v>
      </c>
      <c r="M131" s="226">
        <f>IFERROR(K131-L131-IFERROR(INDEX(Servicios!$F:$F,MATCH($D131,Servicios!$A:$A,0)),0),0)</f>
        <v>11560</v>
      </c>
    </row>
    <row r="132" spans="1:13" ht="15" customHeight="1" x14ac:dyDescent="0.3">
      <c r="A132" s="164">
        <v>46228</v>
      </c>
      <c r="B132" s="231" t="str">
        <f t="shared" si="2"/>
        <v>sáb</v>
      </c>
      <c r="C132" s="146" t="s">
        <v>113</v>
      </c>
      <c r="D132" s="146" t="s">
        <v>151</v>
      </c>
      <c r="E132" s="231" t="str">
        <f>IFERROR(INDEX(Servicios!$B:$B,MATCH($D132,Servicios!$A:$A,0)),"")</f>
        <v>Corte caballero + barba</v>
      </c>
      <c r="F132" s="146" t="s">
        <v>228</v>
      </c>
      <c r="G132" s="146" t="s">
        <v>43</v>
      </c>
      <c r="H132" s="230">
        <f>IFERROR(INDEX(Servicios!$D:$D,MATCH($D132,Servicios!$A:$A,0)),0)</f>
        <v>50</v>
      </c>
      <c r="I132" s="226">
        <f>IFERROR(INDEX(Servicios!$E:$E,MATCH($D132,Servicios!$A:$A,0)),0)</f>
        <v>42000</v>
      </c>
      <c r="J132" s="156"/>
      <c r="K132" s="226">
        <f t="shared" si="3"/>
        <v>42000</v>
      </c>
      <c r="L132" s="226">
        <f>IFERROR(K132*IFERROR(INDEX(Servicios!$G:$G,MATCH($D132,Servicios!$A:$A,0)),0),0)</f>
        <v>13440</v>
      </c>
      <c r="M132" s="226">
        <f>IFERROR(K132-L132-IFERROR(INDEX(Servicios!$F:$F,MATCH($D132,Servicios!$A:$A,0)),0),0)</f>
        <v>28560</v>
      </c>
    </row>
    <row r="133" spans="1:13" ht="15" customHeight="1" x14ac:dyDescent="0.3">
      <c r="A133" s="164">
        <v>46228</v>
      </c>
      <c r="B133" s="231" t="str">
        <f t="shared" ref="B133:B196" si="4">IF($A133="","",CHOOSE(WEEKDAY($A133,2),"lun","mar","mié","jue","vie","sáb","dom"))</f>
        <v>sáb</v>
      </c>
      <c r="C133" s="146" t="s">
        <v>113</v>
      </c>
      <c r="D133" s="146" t="s">
        <v>151</v>
      </c>
      <c r="E133" s="231" t="str">
        <f>IFERROR(INDEX(Servicios!$B:$B,MATCH($D133,Servicios!$A:$A,0)),"")</f>
        <v>Corte caballero + barba</v>
      </c>
      <c r="F133" s="146" t="s">
        <v>273</v>
      </c>
      <c r="G133" s="146" t="s">
        <v>43</v>
      </c>
      <c r="H133" s="230">
        <f>IFERROR(INDEX(Servicios!$D:$D,MATCH($D133,Servicios!$A:$A,0)),0)</f>
        <v>50</v>
      </c>
      <c r="I133" s="226">
        <f>IFERROR(INDEX(Servicios!$E:$E,MATCH($D133,Servicios!$A:$A,0)),0)</f>
        <v>42000</v>
      </c>
      <c r="J133" s="156"/>
      <c r="K133" s="226">
        <f t="shared" ref="K133:K196" si="5">IFERROR(I133*(1-N(J133)),0)</f>
        <v>42000</v>
      </c>
      <c r="L133" s="226">
        <f>IFERROR(K133*IFERROR(INDEX(Servicios!$G:$G,MATCH($D133,Servicios!$A:$A,0)),0),0)</f>
        <v>13440</v>
      </c>
      <c r="M133" s="226">
        <f>IFERROR(K133-L133-IFERROR(INDEX(Servicios!$F:$F,MATCH($D133,Servicios!$A:$A,0)),0),0)</f>
        <v>28560</v>
      </c>
    </row>
    <row r="134" spans="1:13" ht="15" customHeight="1" x14ac:dyDescent="0.3">
      <c r="A134" s="164">
        <v>46228</v>
      </c>
      <c r="B134" s="231" t="str">
        <f t="shared" si="4"/>
        <v>sáb</v>
      </c>
      <c r="C134" s="146" t="s">
        <v>104</v>
      </c>
      <c r="D134" s="146" t="s">
        <v>155</v>
      </c>
      <c r="E134" s="231" t="str">
        <f>IFERROR(INDEX(Servicios!$B:$B,MATCH($D134,Servicios!$A:$A,0)),"")</f>
        <v>Matización / toner</v>
      </c>
      <c r="F134" s="146" t="s">
        <v>225</v>
      </c>
      <c r="G134" s="146" t="s">
        <v>43</v>
      </c>
      <c r="H134" s="230">
        <f>IFERROR(INDEX(Servicios!$D:$D,MATCH($D134,Servicios!$A:$A,0)),0)</f>
        <v>45</v>
      </c>
      <c r="I134" s="226">
        <f>IFERROR(INDEX(Servicios!$E:$E,MATCH($D134,Servicios!$A:$A,0)),0)</f>
        <v>68000</v>
      </c>
      <c r="J134" s="156"/>
      <c r="K134" s="226">
        <f t="shared" si="5"/>
        <v>68000</v>
      </c>
      <c r="L134" s="226">
        <f>IFERROR(K134*IFERROR(INDEX(Servicios!$G:$G,MATCH($D134,Servicios!$A:$A,0)),0),0)</f>
        <v>22440</v>
      </c>
      <c r="M134" s="226">
        <f>IFERROR(K134-L134-IFERROR(INDEX(Servicios!$F:$F,MATCH($D134,Servicios!$A:$A,0)),0),0)</f>
        <v>41876</v>
      </c>
    </row>
    <row r="135" spans="1:13" ht="15" customHeight="1" x14ac:dyDescent="0.3">
      <c r="A135" s="164">
        <v>46228</v>
      </c>
      <c r="B135" s="231" t="str">
        <f t="shared" si="4"/>
        <v>sáb</v>
      </c>
      <c r="C135" s="146" t="s">
        <v>104</v>
      </c>
      <c r="D135" s="146" t="s">
        <v>155</v>
      </c>
      <c r="E135" s="231" t="str">
        <f>IFERROR(INDEX(Servicios!$B:$B,MATCH($D135,Servicios!$A:$A,0)),"")</f>
        <v>Matización / toner</v>
      </c>
      <c r="F135" s="146" t="s">
        <v>272</v>
      </c>
      <c r="G135" s="146" t="s">
        <v>43</v>
      </c>
      <c r="H135" s="230">
        <f>IFERROR(INDEX(Servicios!$D:$D,MATCH($D135,Servicios!$A:$A,0)),0)</f>
        <v>45</v>
      </c>
      <c r="I135" s="226">
        <f>IFERROR(INDEX(Servicios!$E:$E,MATCH($D135,Servicios!$A:$A,0)),0)</f>
        <v>68000</v>
      </c>
      <c r="J135" s="156"/>
      <c r="K135" s="226">
        <f t="shared" si="5"/>
        <v>68000</v>
      </c>
      <c r="L135" s="226">
        <f>IFERROR(K135*IFERROR(INDEX(Servicios!$G:$G,MATCH($D135,Servicios!$A:$A,0)),0),0)</f>
        <v>22440</v>
      </c>
      <c r="M135" s="226">
        <f>IFERROR(K135-L135-IFERROR(INDEX(Servicios!$F:$F,MATCH($D135,Servicios!$A:$A,0)),0),0)</f>
        <v>41876</v>
      </c>
    </row>
    <row r="136" spans="1:13" ht="15" customHeight="1" x14ac:dyDescent="0.3">
      <c r="A136" s="164">
        <v>46228</v>
      </c>
      <c r="B136" s="231" t="str">
        <f t="shared" si="4"/>
        <v>sáb</v>
      </c>
      <c r="C136" s="146" t="s">
        <v>110</v>
      </c>
      <c r="D136" s="146" t="s">
        <v>157</v>
      </c>
      <c r="E136" s="231" t="str">
        <f>IFERROR(INDEX(Servicios!$B:$B,MATCH($D136,Servicios!$A:$A,0)),"")</f>
        <v>Hidratación profunda</v>
      </c>
      <c r="F136" s="146" t="s">
        <v>242</v>
      </c>
      <c r="G136" s="146" t="s">
        <v>43</v>
      </c>
      <c r="H136" s="230">
        <f>IFERROR(INDEX(Servicios!$D:$D,MATCH($D136,Servicios!$A:$A,0)),0)</f>
        <v>45</v>
      </c>
      <c r="I136" s="226">
        <f>IFERROR(INDEX(Servicios!$E:$E,MATCH($D136,Servicios!$A:$A,0)),0)</f>
        <v>65000</v>
      </c>
      <c r="J136" s="156"/>
      <c r="K136" s="226">
        <f t="shared" si="5"/>
        <v>65000</v>
      </c>
      <c r="L136" s="226">
        <f>IFERROR(K136*IFERROR(INDEX(Servicios!$G:$G,MATCH($D136,Servicios!$A:$A,0)),0),0)</f>
        <v>19500</v>
      </c>
      <c r="M136" s="226">
        <f>IFERROR(K136-L136-IFERROR(INDEX(Servicios!$F:$F,MATCH($D136,Servicios!$A:$A,0)),0),0)</f>
        <v>39900</v>
      </c>
    </row>
    <row r="137" spans="1:13" ht="15" customHeight="1" x14ac:dyDescent="0.3">
      <c r="A137" s="164">
        <v>46228</v>
      </c>
      <c r="B137" s="231" t="str">
        <f t="shared" si="4"/>
        <v>sáb</v>
      </c>
      <c r="C137" s="146" t="s">
        <v>116</v>
      </c>
      <c r="D137" s="146" t="s">
        <v>163</v>
      </c>
      <c r="E137" s="231" t="str">
        <f>IFERROR(INDEX(Servicios!$B:$B,MATCH($D137,Servicios!$A:$A,0)),"")</f>
        <v>Pedicure spa</v>
      </c>
      <c r="F137" s="146" t="s">
        <v>252</v>
      </c>
      <c r="G137" s="146" t="s">
        <v>43</v>
      </c>
      <c r="H137" s="230">
        <f>IFERROR(INDEX(Servicios!$D:$D,MATCH($D137,Servicios!$A:$A,0)),0)</f>
        <v>70</v>
      </c>
      <c r="I137" s="226">
        <f>IFERROR(INDEX(Servicios!$E:$E,MATCH($D137,Servicios!$A:$A,0)),0)</f>
        <v>62000</v>
      </c>
      <c r="J137" s="148">
        <v>0.15</v>
      </c>
      <c r="K137" s="226">
        <f t="shared" si="5"/>
        <v>52700</v>
      </c>
      <c r="L137" s="226">
        <f>IFERROR(K137*IFERROR(INDEX(Servicios!$G:$G,MATCH($D137,Servicios!$A:$A,0)),0),0)</f>
        <v>14756.000000000002</v>
      </c>
      <c r="M137" s="226">
        <f>IFERROR(K137-L137-IFERROR(INDEX(Servicios!$F:$F,MATCH($D137,Servicios!$A:$A,0)),0),0)</f>
        <v>31569</v>
      </c>
    </row>
    <row r="138" spans="1:13" ht="15" customHeight="1" x14ac:dyDescent="0.3">
      <c r="A138" s="164">
        <v>46229</v>
      </c>
      <c r="B138" s="231" t="str">
        <f t="shared" si="4"/>
        <v>dom</v>
      </c>
      <c r="C138" s="146" t="s">
        <v>113</v>
      </c>
      <c r="D138" s="146" t="s">
        <v>148</v>
      </c>
      <c r="E138" s="231" t="str">
        <f>IFERROR(INDEX(Servicios!$B:$B,MATCH($D138,Servicios!$A:$A,0)),"")</f>
        <v>Barba y perfilado</v>
      </c>
      <c r="F138" s="146" t="s">
        <v>254</v>
      </c>
      <c r="G138" s="146" t="s">
        <v>41</v>
      </c>
      <c r="H138" s="230">
        <f>IFERROR(INDEX(Servicios!$D:$D,MATCH($D138,Servicios!$A:$A,0)),0)</f>
        <v>25</v>
      </c>
      <c r="I138" s="226">
        <f>IFERROR(INDEX(Servicios!$E:$E,MATCH($D138,Servicios!$A:$A,0)),0)</f>
        <v>20000</v>
      </c>
      <c r="J138" s="156"/>
      <c r="K138" s="226">
        <f t="shared" si="5"/>
        <v>20000</v>
      </c>
      <c r="L138" s="226">
        <f>IFERROR(K138*IFERROR(INDEX(Servicios!$G:$G,MATCH($D138,Servicios!$A:$A,0)),0),0)</f>
        <v>6400</v>
      </c>
      <c r="M138" s="226">
        <f>IFERROR(K138-L138-IFERROR(INDEX(Servicios!$F:$F,MATCH($D138,Servicios!$A:$A,0)),0),0)</f>
        <v>13600</v>
      </c>
    </row>
    <row r="139" spans="1:13" ht="15" customHeight="1" x14ac:dyDescent="0.3">
      <c r="A139" s="164">
        <v>46229</v>
      </c>
      <c r="B139" s="231" t="str">
        <f t="shared" si="4"/>
        <v>dom</v>
      </c>
      <c r="C139" s="146" t="s">
        <v>113</v>
      </c>
      <c r="D139" s="146" t="s">
        <v>151</v>
      </c>
      <c r="E139" s="231" t="str">
        <f>IFERROR(INDEX(Servicios!$B:$B,MATCH($D139,Servicios!$A:$A,0)),"")</f>
        <v>Corte caballero + barba</v>
      </c>
      <c r="F139" s="146" t="s">
        <v>245</v>
      </c>
      <c r="G139" s="146" t="s">
        <v>41</v>
      </c>
      <c r="H139" s="230">
        <f>IFERROR(INDEX(Servicios!$D:$D,MATCH($D139,Servicios!$A:$A,0)),0)</f>
        <v>50</v>
      </c>
      <c r="I139" s="226">
        <f>IFERROR(INDEX(Servicios!$E:$E,MATCH($D139,Servicios!$A:$A,0)),0)</f>
        <v>42000</v>
      </c>
      <c r="J139" s="156"/>
      <c r="K139" s="226">
        <f t="shared" si="5"/>
        <v>42000</v>
      </c>
      <c r="L139" s="226">
        <f>IFERROR(K139*IFERROR(INDEX(Servicios!$G:$G,MATCH($D139,Servicios!$A:$A,0)),0),0)</f>
        <v>13440</v>
      </c>
      <c r="M139" s="226">
        <f>IFERROR(K139-L139-IFERROR(INDEX(Servicios!$F:$F,MATCH($D139,Servicios!$A:$A,0)),0),0)</f>
        <v>28560</v>
      </c>
    </row>
    <row r="140" spans="1:13" ht="15" customHeight="1" x14ac:dyDescent="0.3">
      <c r="A140" s="164">
        <v>46229</v>
      </c>
      <c r="B140" s="231" t="str">
        <f t="shared" si="4"/>
        <v>dom</v>
      </c>
      <c r="C140" s="146" t="s">
        <v>110</v>
      </c>
      <c r="D140" s="146" t="s">
        <v>153</v>
      </c>
      <c r="E140" s="231" t="str">
        <f>IFERROR(INDEX(Servicios!$B:$B,MATCH($D140,Servicios!$A:$A,0)),"")</f>
        <v>Retoque de color</v>
      </c>
      <c r="F140" s="146" t="s">
        <v>225</v>
      </c>
      <c r="G140" s="146" t="s">
        <v>41</v>
      </c>
      <c r="H140" s="230">
        <f>IFERROR(INDEX(Servicios!$D:$D,MATCH($D140,Servicios!$A:$A,0)),0)</f>
        <v>60</v>
      </c>
      <c r="I140" s="226">
        <f>IFERROR(INDEX(Servicios!$E:$E,MATCH($D140,Servicios!$A:$A,0)),0)</f>
        <v>75000</v>
      </c>
      <c r="J140" s="148">
        <v>0.1</v>
      </c>
      <c r="K140" s="226">
        <f t="shared" si="5"/>
        <v>67500</v>
      </c>
      <c r="L140" s="226">
        <f>IFERROR(K140*IFERROR(INDEX(Servicios!$G:$G,MATCH($D140,Servicios!$A:$A,0)),0),0)</f>
        <v>22275</v>
      </c>
      <c r="M140" s="226">
        <f>IFERROR(K140-L140-IFERROR(INDEX(Servicios!$F:$F,MATCH($D140,Servicios!$A:$A,0)),0),0)</f>
        <v>41429</v>
      </c>
    </row>
    <row r="141" spans="1:13" ht="15" customHeight="1" x14ac:dyDescent="0.3">
      <c r="A141" s="164">
        <v>46229</v>
      </c>
      <c r="B141" s="231" t="str">
        <f t="shared" si="4"/>
        <v>dom</v>
      </c>
      <c r="C141" s="146" t="s">
        <v>104</v>
      </c>
      <c r="D141" s="146" t="s">
        <v>157</v>
      </c>
      <c r="E141" s="231" t="str">
        <f>IFERROR(INDEX(Servicios!$B:$B,MATCH($D141,Servicios!$A:$A,0)),"")</f>
        <v>Hidratación profunda</v>
      </c>
      <c r="F141" s="146" t="s">
        <v>231</v>
      </c>
      <c r="G141" s="146" t="s">
        <v>236</v>
      </c>
      <c r="H141" s="230">
        <f>IFERROR(INDEX(Servicios!$D:$D,MATCH($D141,Servicios!$A:$A,0)),0)</f>
        <v>45</v>
      </c>
      <c r="I141" s="226">
        <f>IFERROR(INDEX(Servicios!$E:$E,MATCH($D141,Servicios!$A:$A,0)),0)</f>
        <v>65000</v>
      </c>
      <c r="J141" s="156"/>
      <c r="K141" s="226">
        <f t="shared" si="5"/>
        <v>65000</v>
      </c>
      <c r="L141" s="226">
        <f>IFERROR(K141*IFERROR(INDEX(Servicios!$G:$G,MATCH($D141,Servicios!$A:$A,0)),0),0)</f>
        <v>19500</v>
      </c>
      <c r="M141" s="226">
        <f>IFERROR(K141-L141-IFERROR(INDEX(Servicios!$F:$F,MATCH($D141,Servicios!$A:$A,0)),0),0)</f>
        <v>39900</v>
      </c>
    </row>
    <row r="142" spans="1:13" ht="15" customHeight="1" x14ac:dyDescent="0.3">
      <c r="A142" s="164">
        <v>46229</v>
      </c>
      <c r="B142" s="231" t="str">
        <f t="shared" si="4"/>
        <v>dom</v>
      </c>
      <c r="C142" s="146" t="s">
        <v>116</v>
      </c>
      <c r="D142" s="146" t="s">
        <v>163</v>
      </c>
      <c r="E142" s="231" t="str">
        <f>IFERROR(INDEX(Servicios!$B:$B,MATCH($D142,Servicios!$A:$A,0)),"")</f>
        <v>Pedicure spa</v>
      </c>
      <c r="F142" s="146" t="s">
        <v>242</v>
      </c>
      <c r="G142" s="146" t="s">
        <v>41</v>
      </c>
      <c r="H142" s="230">
        <f>IFERROR(INDEX(Servicios!$D:$D,MATCH($D142,Servicios!$A:$A,0)),0)</f>
        <v>70</v>
      </c>
      <c r="I142" s="226">
        <f>IFERROR(INDEX(Servicios!$E:$E,MATCH($D142,Servicios!$A:$A,0)),0)</f>
        <v>62000</v>
      </c>
      <c r="J142" s="156"/>
      <c r="K142" s="226">
        <f t="shared" si="5"/>
        <v>62000</v>
      </c>
      <c r="L142" s="226">
        <f>IFERROR(K142*IFERROR(INDEX(Servicios!$G:$G,MATCH($D142,Servicios!$A:$A,0)),0),0)</f>
        <v>17360</v>
      </c>
      <c r="M142" s="226">
        <f>IFERROR(K142-L142-IFERROR(INDEX(Servicios!$F:$F,MATCH($D142,Servicios!$A:$A,0)),0),0)</f>
        <v>38265</v>
      </c>
    </row>
    <row r="143" spans="1:13" ht="15" customHeight="1" x14ac:dyDescent="0.3">
      <c r="A143" s="164">
        <v>46229</v>
      </c>
      <c r="B143" s="231" t="str">
        <f t="shared" si="4"/>
        <v>dom</v>
      </c>
      <c r="C143" s="146" t="s">
        <v>116</v>
      </c>
      <c r="D143" s="146" t="s">
        <v>165</v>
      </c>
      <c r="E143" s="231" t="str">
        <f>IFERROR(INDEX(Servicios!$B:$B,MATCH($D143,Servicios!$A:$A,0)),"")</f>
        <v>Diseño de uñas</v>
      </c>
      <c r="F143" s="146" t="s">
        <v>242</v>
      </c>
      <c r="G143" s="146" t="s">
        <v>41</v>
      </c>
      <c r="H143" s="230">
        <f>IFERROR(INDEX(Servicios!$D:$D,MATCH($D143,Servicios!$A:$A,0)),0)</f>
        <v>35</v>
      </c>
      <c r="I143" s="226">
        <f>IFERROR(INDEX(Servicios!$E:$E,MATCH($D143,Servicios!$A:$A,0)),0)</f>
        <v>28000</v>
      </c>
      <c r="J143" s="156"/>
      <c r="K143" s="226">
        <f t="shared" si="5"/>
        <v>28000</v>
      </c>
      <c r="L143" s="226">
        <f>IFERROR(K143*IFERROR(INDEX(Servicios!$G:$G,MATCH($D143,Servicios!$A:$A,0)),0),0)</f>
        <v>7840.0000000000009</v>
      </c>
      <c r="M143" s="226">
        <f>IFERROR(K143-L143-IFERROR(INDEX(Servicios!$F:$F,MATCH($D143,Servicios!$A:$A,0)),0),0)</f>
        <v>16360</v>
      </c>
    </row>
    <row r="144" spans="1:13" ht="15" customHeight="1" x14ac:dyDescent="0.3">
      <c r="A144" s="164">
        <v>46229</v>
      </c>
      <c r="B144" s="231" t="str">
        <f t="shared" si="4"/>
        <v>dom</v>
      </c>
      <c r="C144" s="146" t="s">
        <v>98</v>
      </c>
      <c r="D144" s="146" t="s">
        <v>167</v>
      </c>
      <c r="E144" s="231" t="str">
        <f>IFERROR(INDEX(Servicios!$B:$B,MATCH($D144,Servicios!$A:$A,0)),"")</f>
        <v>Peinado para evento</v>
      </c>
      <c r="F144" s="146" t="s">
        <v>267</v>
      </c>
      <c r="G144" s="146" t="s">
        <v>43</v>
      </c>
      <c r="H144" s="230">
        <f>IFERROR(INDEX(Servicios!$D:$D,MATCH($D144,Servicios!$A:$A,0)),0)</f>
        <v>60</v>
      </c>
      <c r="I144" s="226">
        <f>IFERROR(INDEX(Servicios!$E:$E,MATCH($D144,Servicios!$A:$A,0)),0)</f>
        <v>85000</v>
      </c>
      <c r="J144" s="156"/>
      <c r="K144" s="226">
        <f t="shared" si="5"/>
        <v>85000</v>
      </c>
      <c r="L144" s="226">
        <f>IFERROR(K144*IFERROR(INDEX(Servicios!$G:$G,MATCH($D144,Servicios!$A:$A,0)),0),0)</f>
        <v>27200</v>
      </c>
      <c r="M144" s="226">
        <f>IFERROR(K144-L144-IFERROR(INDEX(Servicios!$F:$F,MATCH($D144,Servicios!$A:$A,0)),0),0)</f>
        <v>57800</v>
      </c>
    </row>
    <row r="145" spans="1:13" ht="15" customHeight="1" x14ac:dyDescent="0.3">
      <c r="A145" s="164">
        <v>46231</v>
      </c>
      <c r="B145" s="231" t="str">
        <f t="shared" si="4"/>
        <v>mar</v>
      </c>
      <c r="C145" s="146" t="s">
        <v>113</v>
      </c>
      <c r="D145" s="146" t="s">
        <v>146</v>
      </c>
      <c r="E145" s="231" t="str">
        <f>IFERROR(INDEX(Servicios!$B:$B,MATCH($D145,Servicios!$A:$A,0)),"")</f>
        <v>Corte niño</v>
      </c>
      <c r="F145" s="146" t="s">
        <v>276</v>
      </c>
      <c r="G145" s="146" t="s">
        <v>43</v>
      </c>
      <c r="H145" s="230">
        <f>IFERROR(INDEX(Servicios!$D:$D,MATCH($D145,Servicios!$A:$A,0)),0)</f>
        <v>25</v>
      </c>
      <c r="I145" s="226">
        <f>IFERROR(INDEX(Servicios!$E:$E,MATCH($D145,Servicios!$A:$A,0)),0)</f>
        <v>22000</v>
      </c>
      <c r="J145" s="156"/>
      <c r="K145" s="226">
        <f t="shared" si="5"/>
        <v>22000</v>
      </c>
      <c r="L145" s="226">
        <f>IFERROR(K145*IFERROR(INDEX(Servicios!$G:$G,MATCH($D145,Servicios!$A:$A,0)),0),0)</f>
        <v>6160.0000000000009</v>
      </c>
      <c r="M145" s="226">
        <f>IFERROR(K145-L145-IFERROR(INDEX(Servicios!$F:$F,MATCH($D145,Servicios!$A:$A,0)),0),0)</f>
        <v>15840</v>
      </c>
    </row>
    <row r="146" spans="1:13" ht="15" customHeight="1" x14ac:dyDescent="0.3">
      <c r="A146" s="164">
        <v>46231</v>
      </c>
      <c r="B146" s="231" t="str">
        <f t="shared" si="4"/>
        <v>mar</v>
      </c>
      <c r="C146" s="146" t="s">
        <v>113</v>
      </c>
      <c r="D146" s="146" t="s">
        <v>146</v>
      </c>
      <c r="E146" s="231" t="str">
        <f>IFERROR(INDEX(Servicios!$B:$B,MATCH($D146,Servicios!$A:$A,0)),"")</f>
        <v>Corte niño</v>
      </c>
      <c r="F146" s="146" t="s">
        <v>244</v>
      </c>
      <c r="G146" s="146" t="s">
        <v>43</v>
      </c>
      <c r="H146" s="230">
        <f>IFERROR(INDEX(Servicios!$D:$D,MATCH($D146,Servicios!$A:$A,0)),0)</f>
        <v>25</v>
      </c>
      <c r="I146" s="226">
        <f>IFERROR(INDEX(Servicios!$E:$E,MATCH($D146,Servicios!$A:$A,0)),0)</f>
        <v>22000</v>
      </c>
      <c r="J146" s="156"/>
      <c r="K146" s="226">
        <f t="shared" si="5"/>
        <v>22000</v>
      </c>
      <c r="L146" s="226">
        <f>IFERROR(K146*IFERROR(INDEX(Servicios!$G:$G,MATCH($D146,Servicios!$A:$A,0)),0),0)</f>
        <v>6160.0000000000009</v>
      </c>
      <c r="M146" s="226">
        <f>IFERROR(K146-L146-IFERROR(INDEX(Servicios!$F:$F,MATCH($D146,Servicios!$A:$A,0)),0),0)</f>
        <v>15840</v>
      </c>
    </row>
    <row r="147" spans="1:13" ht="15" customHeight="1" x14ac:dyDescent="0.3">
      <c r="A147" s="164">
        <v>46231</v>
      </c>
      <c r="B147" s="231" t="str">
        <f t="shared" si="4"/>
        <v>mar</v>
      </c>
      <c r="C147" s="146" t="s">
        <v>113</v>
      </c>
      <c r="D147" s="146" t="s">
        <v>148</v>
      </c>
      <c r="E147" s="231" t="str">
        <f>IFERROR(INDEX(Servicios!$B:$B,MATCH($D147,Servicios!$A:$A,0)),"")</f>
        <v>Barba y perfilado</v>
      </c>
      <c r="F147" s="146" t="s">
        <v>229</v>
      </c>
      <c r="G147" s="146" t="s">
        <v>43</v>
      </c>
      <c r="H147" s="230">
        <f>IFERROR(INDEX(Servicios!$D:$D,MATCH($D147,Servicios!$A:$A,0)),0)</f>
        <v>25</v>
      </c>
      <c r="I147" s="226">
        <f>IFERROR(INDEX(Servicios!$E:$E,MATCH($D147,Servicios!$A:$A,0)),0)</f>
        <v>20000</v>
      </c>
      <c r="J147" s="156"/>
      <c r="K147" s="226">
        <f t="shared" si="5"/>
        <v>20000</v>
      </c>
      <c r="L147" s="226">
        <f>IFERROR(K147*IFERROR(INDEX(Servicios!$G:$G,MATCH($D147,Servicios!$A:$A,0)),0),0)</f>
        <v>6400</v>
      </c>
      <c r="M147" s="226">
        <f>IFERROR(K147-L147-IFERROR(INDEX(Servicios!$F:$F,MATCH($D147,Servicios!$A:$A,0)),0),0)</f>
        <v>13600</v>
      </c>
    </row>
    <row r="148" spans="1:13" ht="15" customHeight="1" x14ac:dyDescent="0.3">
      <c r="A148" s="164">
        <v>46231</v>
      </c>
      <c r="B148" s="231" t="str">
        <f t="shared" si="4"/>
        <v>mar</v>
      </c>
      <c r="C148" s="146" t="s">
        <v>113</v>
      </c>
      <c r="D148" s="146" t="s">
        <v>151</v>
      </c>
      <c r="E148" s="231" t="str">
        <f>IFERROR(INDEX(Servicios!$B:$B,MATCH($D148,Servicios!$A:$A,0)),"")</f>
        <v>Corte caballero + barba</v>
      </c>
      <c r="F148" s="146" t="s">
        <v>235</v>
      </c>
      <c r="G148" s="146" t="s">
        <v>41</v>
      </c>
      <c r="H148" s="230">
        <f>IFERROR(INDEX(Servicios!$D:$D,MATCH($D148,Servicios!$A:$A,0)),0)</f>
        <v>50</v>
      </c>
      <c r="I148" s="226">
        <f>IFERROR(INDEX(Servicios!$E:$E,MATCH($D148,Servicios!$A:$A,0)),0)</f>
        <v>42000</v>
      </c>
      <c r="J148" s="156"/>
      <c r="K148" s="226">
        <f t="shared" si="5"/>
        <v>42000</v>
      </c>
      <c r="L148" s="226">
        <f>IFERROR(K148*IFERROR(INDEX(Servicios!$G:$G,MATCH($D148,Servicios!$A:$A,0)),0),0)</f>
        <v>13440</v>
      </c>
      <c r="M148" s="226">
        <f>IFERROR(K148-L148-IFERROR(INDEX(Servicios!$F:$F,MATCH($D148,Servicios!$A:$A,0)),0),0)</f>
        <v>28560</v>
      </c>
    </row>
    <row r="149" spans="1:13" ht="15" customHeight="1" x14ac:dyDescent="0.3">
      <c r="A149" s="164">
        <v>46231</v>
      </c>
      <c r="B149" s="231" t="str">
        <f t="shared" si="4"/>
        <v>mar</v>
      </c>
      <c r="C149" s="146" t="s">
        <v>110</v>
      </c>
      <c r="D149" s="146" t="s">
        <v>157</v>
      </c>
      <c r="E149" s="231" t="str">
        <f>IFERROR(INDEX(Servicios!$B:$B,MATCH($D149,Servicios!$A:$A,0)),"")</f>
        <v>Hidratación profunda</v>
      </c>
      <c r="F149" s="146" t="s">
        <v>240</v>
      </c>
      <c r="G149" s="146" t="s">
        <v>236</v>
      </c>
      <c r="H149" s="230">
        <f>IFERROR(INDEX(Servicios!$D:$D,MATCH($D149,Servicios!$A:$A,0)),0)</f>
        <v>45</v>
      </c>
      <c r="I149" s="226">
        <f>IFERROR(INDEX(Servicios!$E:$E,MATCH($D149,Servicios!$A:$A,0)),0)</f>
        <v>65000</v>
      </c>
      <c r="J149" s="156"/>
      <c r="K149" s="226">
        <f t="shared" si="5"/>
        <v>65000</v>
      </c>
      <c r="L149" s="226">
        <f>IFERROR(K149*IFERROR(INDEX(Servicios!$G:$G,MATCH($D149,Servicios!$A:$A,0)),0),0)</f>
        <v>19500</v>
      </c>
      <c r="M149" s="226">
        <f>IFERROR(K149-L149-IFERROR(INDEX(Servicios!$F:$F,MATCH($D149,Servicios!$A:$A,0)),0),0)</f>
        <v>39900</v>
      </c>
    </row>
    <row r="150" spans="1:13" ht="15" customHeight="1" x14ac:dyDescent="0.3">
      <c r="A150" s="164">
        <v>46231</v>
      </c>
      <c r="B150" s="231" t="str">
        <f t="shared" si="4"/>
        <v>mar</v>
      </c>
      <c r="C150" s="146" t="s">
        <v>104</v>
      </c>
      <c r="D150" s="146" t="s">
        <v>157</v>
      </c>
      <c r="E150" s="231" t="str">
        <f>IFERROR(INDEX(Servicios!$B:$B,MATCH($D150,Servicios!$A:$A,0)),"")</f>
        <v>Hidratación profunda</v>
      </c>
      <c r="F150" s="146" t="s">
        <v>228</v>
      </c>
      <c r="G150" s="146" t="s">
        <v>45</v>
      </c>
      <c r="H150" s="230">
        <f>IFERROR(INDEX(Servicios!$D:$D,MATCH($D150,Servicios!$A:$A,0)),0)</f>
        <v>45</v>
      </c>
      <c r="I150" s="226">
        <f>IFERROR(INDEX(Servicios!$E:$E,MATCH($D150,Servicios!$A:$A,0)),0)</f>
        <v>65000</v>
      </c>
      <c r="J150" s="148">
        <v>0.15</v>
      </c>
      <c r="K150" s="226">
        <f t="shared" si="5"/>
        <v>55250</v>
      </c>
      <c r="L150" s="226">
        <f>IFERROR(K150*IFERROR(INDEX(Servicios!$G:$G,MATCH($D150,Servicios!$A:$A,0)),0),0)</f>
        <v>16575</v>
      </c>
      <c r="M150" s="226">
        <f>IFERROR(K150-L150-IFERROR(INDEX(Servicios!$F:$F,MATCH($D150,Servicios!$A:$A,0)),0),0)</f>
        <v>33075</v>
      </c>
    </row>
    <row r="151" spans="1:13" ht="15" customHeight="1" x14ac:dyDescent="0.3">
      <c r="A151" s="164">
        <v>46231</v>
      </c>
      <c r="B151" s="231" t="str">
        <f t="shared" si="4"/>
        <v>mar</v>
      </c>
      <c r="C151" s="146" t="s">
        <v>110</v>
      </c>
      <c r="D151" s="146" t="s">
        <v>157</v>
      </c>
      <c r="E151" s="231" t="str">
        <f>IFERROR(INDEX(Servicios!$B:$B,MATCH($D151,Servicios!$A:$A,0)),"")</f>
        <v>Hidratación profunda</v>
      </c>
      <c r="F151" s="146" t="s">
        <v>277</v>
      </c>
      <c r="G151" s="146" t="s">
        <v>45</v>
      </c>
      <c r="H151" s="230">
        <f>IFERROR(INDEX(Servicios!$D:$D,MATCH($D151,Servicios!$A:$A,0)),0)</f>
        <v>45</v>
      </c>
      <c r="I151" s="226">
        <f>IFERROR(INDEX(Servicios!$E:$E,MATCH($D151,Servicios!$A:$A,0)),0)</f>
        <v>65000</v>
      </c>
      <c r="J151" s="156"/>
      <c r="K151" s="226">
        <f t="shared" si="5"/>
        <v>65000</v>
      </c>
      <c r="L151" s="226">
        <f>IFERROR(K151*IFERROR(INDEX(Servicios!$G:$G,MATCH($D151,Servicios!$A:$A,0)),0),0)</f>
        <v>19500</v>
      </c>
      <c r="M151" s="226">
        <f>IFERROR(K151-L151-IFERROR(INDEX(Servicios!$F:$F,MATCH($D151,Servicios!$A:$A,0)),0),0)</f>
        <v>39900</v>
      </c>
    </row>
    <row r="152" spans="1:13" ht="15" customHeight="1" x14ac:dyDescent="0.3">
      <c r="A152" s="164">
        <v>46231</v>
      </c>
      <c r="B152" s="231" t="str">
        <f t="shared" si="4"/>
        <v>mar</v>
      </c>
      <c r="C152" s="146" t="s">
        <v>98</v>
      </c>
      <c r="D152" s="146" t="s">
        <v>159</v>
      </c>
      <c r="E152" s="231" t="str">
        <f>IFERROR(INDEX(Servicios!$B:$B,MATCH($D152,Servicios!$A:$A,0)),"")</f>
        <v>Tratamiento anticaída</v>
      </c>
      <c r="F152" s="146" t="s">
        <v>278</v>
      </c>
      <c r="G152" s="146" t="s">
        <v>41</v>
      </c>
      <c r="H152" s="230">
        <f>IFERROR(INDEX(Servicios!$D:$D,MATCH($D152,Servicios!$A:$A,0)),0)</f>
        <v>40</v>
      </c>
      <c r="I152" s="226">
        <f>IFERROR(INDEX(Servicios!$E:$E,MATCH($D152,Servicios!$A:$A,0)),0)</f>
        <v>72000</v>
      </c>
      <c r="J152" s="156"/>
      <c r="K152" s="226">
        <f t="shared" si="5"/>
        <v>72000</v>
      </c>
      <c r="L152" s="226">
        <f>IFERROR(K152*IFERROR(INDEX(Servicios!$G:$G,MATCH($D152,Servicios!$A:$A,0)),0),0)</f>
        <v>21600</v>
      </c>
      <c r="M152" s="226">
        <f>IFERROR(K152-L152-IFERROR(INDEX(Servicios!$F:$F,MATCH($D152,Servicios!$A:$A,0)),0),0)</f>
        <v>39900</v>
      </c>
    </row>
    <row r="153" spans="1:13" ht="15" customHeight="1" x14ac:dyDescent="0.3">
      <c r="A153" s="164">
        <v>46231</v>
      </c>
      <c r="B153" s="231" t="str">
        <f t="shared" si="4"/>
        <v>mar</v>
      </c>
      <c r="C153" s="146" t="s">
        <v>116</v>
      </c>
      <c r="D153" s="146" t="s">
        <v>161</v>
      </c>
      <c r="E153" s="231" t="str">
        <f>IFERROR(INDEX(Servicios!$B:$B,MATCH($D153,Servicios!$A:$A,0)),"")</f>
        <v>Manicure semipermanente</v>
      </c>
      <c r="F153" s="146" t="s">
        <v>279</v>
      </c>
      <c r="G153" s="146" t="s">
        <v>41</v>
      </c>
      <c r="H153" s="230">
        <f>IFERROR(INDEX(Servicios!$D:$D,MATCH($D153,Servicios!$A:$A,0)),0)</f>
        <v>60</v>
      </c>
      <c r="I153" s="226">
        <f>IFERROR(INDEX(Servicios!$E:$E,MATCH($D153,Servicios!$A:$A,0)),0)</f>
        <v>55000</v>
      </c>
      <c r="J153" s="156"/>
      <c r="K153" s="226">
        <f t="shared" si="5"/>
        <v>55000</v>
      </c>
      <c r="L153" s="226">
        <f>IFERROR(K153*IFERROR(INDEX(Servicios!$G:$G,MATCH($D153,Servicios!$A:$A,0)),0),0)</f>
        <v>15400.000000000002</v>
      </c>
      <c r="M153" s="226">
        <f>IFERROR(K153-L153-IFERROR(INDEX(Servicios!$F:$F,MATCH($D153,Servicios!$A:$A,0)),0),0)</f>
        <v>31460</v>
      </c>
    </row>
    <row r="154" spans="1:13" ht="15" customHeight="1" x14ac:dyDescent="0.3">
      <c r="A154" s="164">
        <v>46231</v>
      </c>
      <c r="B154" s="231" t="str">
        <f t="shared" si="4"/>
        <v>mar</v>
      </c>
      <c r="C154" s="146" t="s">
        <v>116</v>
      </c>
      <c r="D154" s="146" t="s">
        <v>163</v>
      </c>
      <c r="E154" s="231" t="str">
        <f>IFERROR(INDEX(Servicios!$B:$B,MATCH($D154,Servicios!$A:$A,0)),"")</f>
        <v>Pedicure spa</v>
      </c>
      <c r="F154" s="146" t="s">
        <v>270</v>
      </c>
      <c r="G154" s="146" t="s">
        <v>43</v>
      </c>
      <c r="H154" s="230">
        <f>IFERROR(INDEX(Servicios!$D:$D,MATCH($D154,Servicios!$A:$A,0)),0)</f>
        <v>70</v>
      </c>
      <c r="I154" s="226">
        <f>IFERROR(INDEX(Servicios!$E:$E,MATCH($D154,Servicios!$A:$A,0)),0)</f>
        <v>62000</v>
      </c>
      <c r="J154" s="156"/>
      <c r="K154" s="226">
        <f t="shared" si="5"/>
        <v>62000</v>
      </c>
      <c r="L154" s="226">
        <f>IFERROR(K154*IFERROR(INDEX(Servicios!$G:$G,MATCH($D154,Servicios!$A:$A,0)),0),0)</f>
        <v>17360</v>
      </c>
      <c r="M154" s="226">
        <f>IFERROR(K154-L154-IFERROR(INDEX(Servicios!$F:$F,MATCH($D154,Servicios!$A:$A,0)),0),0)</f>
        <v>38265</v>
      </c>
    </row>
    <row r="155" spans="1:13" ht="15" customHeight="1" x14ac:dyDescent="0.3">
      <c r="A155" s="164">
        <v>46231</v>
      </c>
      <c r="B155" s="231" t="str">
        <f t="shared" si="4"/>
        <v>mar</v>
      </c>
      <c r="C155" s="146" t="s">
        <v>116</v>
      </c>
      <c r="D155" s="146" t="s">
        <v>163</v>
      </c>
      <c r="E155" s="231" t="str">
        <f>IFERROR(INDEX(Servicios!$B:$B,MATCH($D155,Servicios!$A:$A,0)),"")</f>
        <v>Pedicure spa</v>
      </c>
      <c r="F155" s="146" t="s">
        <v>266</v>
      </c>
      <c r="G155" s="146" t="s">
        <v>45</v>
      </c>
      <c r="H155" s="230">
        <f>IFERROR(INDEX(Servicios!$D:$D,MATCH($D155,Servicios!$A:$A,0)),0)</f>
        <v>70</v>
      </c>
      <c r="I155" s="226">
        <f>IFERROR(INDEX(Servicios!$E:$E,MATCH($D155,Servicios!$A:$A,0)),0)</f>
        <v>62000</v>
      </c>
      <c r="J155" s="156"/>
      <c r="K155" s="226">
        <f t="shared" si="5"/>
        <v>62000</v>
      </c>
      <c r="L155" s="226">
        <f>IFERROR(K155*IFERROR(INDEX(Servicios!$G:$G,MATCH($D155,Servicios!$A:$A,0)),0),0)</f>
        <v>17360</v>
      </c>
      <c r="M155" s="226">
        <f>IFERROR(K155-L155-IFERROR(INDEX(Servicios!$F:$F,MATCH($D155,Servicios!$A:$A,0)),0),0)</f>
        <v>38265</v>
      </c>
    </row>
    <row r="156" spans="1:13" ht="15" customHeight="1" x14ac:dyDescent="0.3">
      <c r="A156" s="164">
        <v>46231</v>
      </c>
      <c r="B156" s="231" t="str">
        <f t="shared" si="4"/>
        <v>mar</v>
      </c>
      <c r="C156" s="146" t="s">
        <v>116</v>
      </c>
      <c r="D156" s="146" t="s">
        <v>163</v>
      </c>
      <c r="E156" s="231" t="str">
        <f>IFERROR(INDEX(Servicios!$B:$B,MATCH($D156,Servicios!$A:$A,0)),"")</f>
        <v>Pedicure spa</v>
      </c>
      <c r="F156" s="146" t="s">
        <v>280</v>
      </c>
      <c r="G156" s="146" t="s">
        <v>43</v>
      </c>
      <c r="H156" s="230">
        <f>IFERROR(INDEX(Servicios!$D:$D,MATCH($D156,Servicios!$A:$A,0)),0)</f>
        <v>70</v>
      </c>
      <c r="I156" s="226">
        <f>IFERROR(INDEX(Servicios!$E:$E,MATCH($D156,Servicios!$A:$A,0)),0)</f>
        <v>62000</v>
      </c>
      <c r="J156" s="156"/>
      <c r="K156" s="226">
        <f t="shared" si="5"/>
        <v>62000</v>
      </c>
      <c r="L156" s="226">
        <f>IFERROR(K156*IFERROR(INDEX(Servicios!$G:$G,MATCH($D156,Servicios!$A:$A,0)),0),0)</f>
        <v>17360</v>
      </c>
      <c r="M156" s="226">
        <f>IFERROR(K156-L156-IFERROR(INDEX(Servicios!$F:$F,MATCH($D156,Servicios!$A:$A,0)),0),0)</f>
        <v>38265</v>
      </c>
    </row>
    <row r="157" spans="1:13" ht="15" customHeight="1" x14ac:dyDescent="0.3">
      <c r="A157" s="164">
        <v>46231</v>
      </c>
      <c r="B157" s="231" t="str">
        <f t="shared" si="4"/>
        <v>mar</v>
      </c>
      <c r="C157" s="146" t="s">
        <v>110</v>
      </c>
      <c r="D157" s="146" t="s">
        <v>165</v>
      </c>
      <c r="E157" s="231" t="str">
        <f>IFERROR(INDEX(Servicios!$B:$B,MATCH($D157,Servicios!$A:$A,0)),"")</f>
        <v>Diseño de uñas</v>
      </c>
      <c r="F157" s="146" t="s">
        <v>255</v>
      </c>
      <c r="G157" s="146" t="s">
        <v>236</v>
      </c>
      <c r="H157" s="230">
        <f>IFERROR(INDEX(Servicios!$D:$D,MATCH($D157,Servicios!$A:$A,0)),0)</f>
        <v>35</v>
      </c>
      <c r="I157" s="226">
        <f>IFERROR(INDEX(Servicios!$E:$E,MATCH($D157,Servicios!$A:$A,0)),0)</f>
        <v>28000</v>
      </c>
      <c r="J157" s="156"/>
      <c r="K157" s="226">
        <f t="shared" si="5"/>
        <v>28000</v>
      </c>
      <c r="L157" s="226">
        <f>IFERROR(K157*IFERROR(INDEX(Servicios!$G:$G,MATCH($D157,Servicios!$A:$A,0)),0),0)</f>
        <v>7840.0000000000009</v>
      </c>
      <c r="M157" s="226">
        <f>IFERROR(K157-L157-IFERROR(INDEX(Servicios!$F:$F,MATCH($D157,Servicios!$A:$A,0)),0),0)</f>
        <v>16360</v>
      </c>
    </row>
    <row r="158" spans="1:13" ht="15" customHeight="1" x14ac:dyDescent="0.3">
      <c r="A158" s="164">
        <v>46231</v>
      </c>
      <c r="B158" s="231" t="str">
        <f t="shared" si="4"/>
        <v>mar</v>
      </c>
      <c r="C158" s="146" t="s">
        <v>110</v>
      </c>
      <c r="D158" s="146" t="s">
        <v>165</v>
      </c>
      <c r="E158" s="231" t="str">
        <f>IFERROR(INDEX(Servicios!$B:$B,MATCH($D158,Servicios!$A:$A,0)),"")</f>
        <v>Diseño de uñas</v>
      </c>
      <c r="F158" s="146" t="s">
        <v>223</v>
      </c>
      <c r="G158" s="146" t="s">
        <v>236</v>
      </c>
      <c r="H158" s="230">
        <f>IFERROR(INDEX(Servicios!$D:$D,MATCH($D158,Servicios!$A:$A,0)),0)</f>
        <v>35</v>
      </c>
      <c r="I158" s="226">
        <f>IFERROR(INDEX(Servicios!$E:$E,MATCH($D158,Servicios!$A:$A,0)),0)</f>
        <v>28000</v>
      </c>
      <c r="J158" s="156"/>
      <c r="K158" s="226">
        <f t="shared" si="5"/>
        <v>28000</v>
      </c>
      <c r="L158" s="226">
        <f>IFERROR(K158*IFERROR(INDEX(Servicios!$G:$G,MATCH($D158,Servicios!$A:$A,0)),0),0)</f>
        <v>7840.0000000000009</v>
      </c>
      <c r="M158" s="226">
        <f>IFERROR(K158-L158-IFERROR(INDEX(Servicios!$F:$F,MATCH($D158,Servicios!$A:$A,0)),0),0)</f>
        <v>16360</v>
      </c>
    </row>
    <row r="159" spans="1:13" ht="15" customHeight="1" x14ac:dyDescent="0.3">
      <c r="A159" s="164">
        <v>46231</v>
      </c>
      <c r="B159" s="231" t="str">
        <f t="shared" si="4"/>
        <v>mar</v>
      </c>
      <c r="C159" s="146" t="s">
        <v>116</v>
      </c>
      <c r="D159" s="146" t="s">
        <v>169</v>
      </c>
      <c r="E159" s="231" t="str">
        <f>IFERROR(INDEX(Servicios!$B:$B,MATCH($D159,Servicios!$A:$A,0)),"")</f>
        <v>Depilación de cejas</v>
      </c>
      <c r="F159" s="146" t="s">
        <v>270</v>
      </c>
      <c r="G159" s="146" t="s">
        <v>43</v>
      </c>
      <c r="H159" s="230">
        <f>IFERROR(INDEX(Servicios!$D:$D,MATCH($D159,Servicios!$A:$A,0)),0)</f>
        <v>20</v>
      </c>
      <c r="I159" s="226">
        <f>IFERROR(INDEX(Servicios!$E:$E,MATCH($D159,Servicios!$A:$A,0)),0)</f>
        <v>18000</v>
      </c>
      <c r="J159" s="156"/>
      <c r="K159" s="226">
        <f t="shared" si="5"/>
        <v>18000</v>
      </c>
      <c r="L159" s="226">
        <f>IFERROR(K159*IFERROR(INDEX(Servicios!$G:$G,MATCH($D159,Servicios!$A:$A,0)),0),0)</f>
        <v>4500</v>
      </c>
      <c r="M159" s="226">
        <f>IFERROR(K159-L159-IFERROR(INDEX(Servicios!$F:$F,MATCH($D159,Servicios!$A:$A,0)),0),0)</f>
        <v>11875</v>
      </c>
    </row>
    <row r="160" spans="1:13" ht="15" customHeight="1" x14ac:dyDescent="0.3">
      <c r="A160" s="164">
        <v>46231</v>
      </c>
      <c r="B160" s="231" t="str">
        <f t="shared" si="4"/>
        <v>mar</v>
      </c>
      <c r="C160" s="146" t="s">
        <v>110</v>
      </c>
      <c r="D160" s="146" t="s">
        <v>169</v>
      </c>
      <c r="E160" s="231" t="str">
        <f>IFERROR(INDEX(Servicios!$B:$B,MATCH($D160,Servicios!$A:$A,0)),"")</f>
        <v>Depilación de cejas</v>
      </c>
      <c r="F160" s="146" t="s">
        <v>263</v>
      </c>
      <c r="G160" s="146" t="s">
        <v>236</v>
      </c>
      <c r="H160" s="230">
        <f>IFERROR(INDEX(Servicios!$D:$D,MATCH($D160,Servicios!$A:$A,0)),0)</f>
        <v>20</v>
      </c>
      <c r="I160" s="226">
        <f>IFERROR(INDEX(Servicios!$E:$E,MATCH($D160,Servicios!$A:$A,0)),0)</f>
        <v>18000</v>
      </c>
      <c r="J160" s="156"/>
      <c r="K160" s="226">
        <f t="shared" si="5"/>
        <v>18000</v>
      </c>
      <c r="L160" s="226">
        <f>IFERROR(K160*IFERROR(INDEX(Servicios!$G:$G,MATCH($D160,Servicios!$A:$A,0)),0),0)</f>
        <v>4500</v>
      </c>
      <c r="M160" s="226">
        <f>IFERROR(K160-L160-IFERROR(INDEX(Servicios!$F:$F,MATCH($D160,Servicios!$A:$A,0)),0),0)</f>
        <v>11875</v>
      </c>
    </row>
    <row r="161" spans="1:13" ht="15" customHeight="1" x14ac:dyDescent="0.3">
      <c r="A161" s="164">
        <v>46232</v>
      </c>
      <c r="B161" s="231" t="str">
        <f t="shared" si="4"/>
        <v>mié</v>
      </c>
      <c r="C161" s="146" t="s">
        <v>113</v>
      </c>
      <c r="D161" s="146" t="s">
        <v>151</v>
      </c>
      <c r="E161" s="231" t="str">
        <f>IFERROR(INDEX(Servicios!$B:$B,MATCH($D161,Servicios!$A:$A,0)),"")</f>
        <v>Corte caballero + barba</v>
      </c>
      <c r="F161" s="146" t="s">
        <v>280</v>
      </c>
      <c r="G161" s="146" t="s">
        <v>43</v>
      </c>
      <c r="H161" s="230">
        <f>IFERROR(INDEX(Servicios!$D:$D,MATCH($D161,Servicios!$A:$A,0)),0)</f>
        <v>50</v>
      </c>
      <c r="I161" s="226">
        <f>IFERROR(INDEX(Servicios!$E:$E,MATCH($D161,Servicios!$A:$A,0)),0)</f>
        <v>42000</v>
      </c>
      <c r="J161" s="156"/>
      <c r="K161" s="226">
        <f t="shared" si="5"/>
        <v>42000</v>
      </c>
      <c r="L161" s="226">
        <f>IFERROR(K161*IFERROR(INDEX(Servicios!$G:$G,MATCH($D161,Servicios!$A:$A,0)),0),0)</f>
        <v>13440</v>
      </c>
      <c r="M161" s="226">
        <f>IFERROR(K161-L161-IFERROR(INDEX(Servicios!$F:$F,MATCH($D161,Servicios!$A:$A,0)),0),0)</f>
        <v>28560</v>
      </c>
    </row>
    <row r="162" spans="1:13" ht="15" customHeight="1" x14ac:dyDescent="0.3">
      <c r="A162" s="164">
        <v>46232</v>
      </c>
      <c r="B162" s="231" t="str">
        <f t="shared" si="4"/>
        <v>mié</v>
      </c>
      <c r="C162" s="146" t="s">
        <v>113</v>
      </c>
      <c r="D162" s="146" t="s">
        <v>151</v>
      </c>
      <c r="E162" s="231" t="str">
        <f>IFERROR(INDEX(Servicios!$B:$B,MATCH($D162,Servicios!$A:$A,0)),"")</f>
        <v>Corte caballero + barba</v>
      </c>
      <c r="F162" s="146" t="s">
        <v>250</v>
      </c>
      <c r="G162" s="146" t="s">
        <v>41</v>
      </c>
      <c r="H162" s="230">
        <f>IFERROR(INDEX(Servicios!$D:$D,MATCH($D162,Servicios!$A:$A,0)),0)</f>
        <v>50</v>
      </c>
      <c r="I162" s="226">
        <f>IFERROR(INDEX(Servicios!$E:$E,MATCH($D162,Servicios!$A:$A,0)),0)</f>
        <v>42000</v>
      </c>
      <c r="J162" s="156"/>
      <c r="K162" s="226">
        <f t="shared" si="5"/>
        <v>42000</v>
      </c>
      <c r="L162" s="226">
        <f>IFERROR(K162*IFERROR(INDEX(Servicios!$G:$G,MATCH($D162,Servicios!$A:$A,0)),0),0)</f>
        <v>13440</v>
      </c>
      <c r="M162" s="226">
        <f>IFERROR(K162-L162-IFERROR(INDEX(Servicios!$F:$F,MATCH($D162,Servicios!$A:$A,0)),0),0)</f>
        <v>28560</v>
      </c>
    </row>
    <row r="163" spans="1:13" ht="15" customHeight="1" x14ac:dyDescent="0.3">
      <c r="A163" s="164">
        <v>46232</v>
      </c>
      <c r="B163" s="231" t="str">
        <f t="shared" si="4"/>
        <v>mié</v>
      </c>
      <c r="C163" s="146" t="s">
        <v>116</v>
      </c>
      <c r="D163" s="146" t="s">
        <v>161</v>
      </c>
      <c r="E163" s="231" t="str">
        <f>IFERROR(INDEX(Servicios!$B:$B,MATCH($D163,Servicios!$A:$A,0)),"")</f>
        <v>Manicure semipermanente</v>
      </c>
      <c r="F163" s="146" t="s">
        <v>258</v>
      </c>
      <c r="G163" s="146" t="s">
        <v>236</v>
      </c>
      <c r="H163" s="230">
        <f>IFERROR(INDEX(Servicios!$D:$D,MATCH($D163,Servicios!$A:$A,0)),0)</f>
        <v>60</v>
      </c>
      <c r="I163" s="226">
        <f>IFERROR(INDEX(Servicios!$E:$E,MATCH($D163,Servicios!$A:$A,0)),0)</f>
        <v>55000</v>
      </c>
      <c r="J163" s="156"/>
      <c r="K163" s="226">
        <f t="shared" si="5"/>
        <v>55000</v>
      </c>
      <c r="L163" s="226">
        <f>IFERROR(K163*IFERROR(INDEX(Servicios!$G:$G,MATCH($D163,Servicios!$A:$A,0)),0),0)</f>
        <v>15400.000000000002</v>
      </c>
      <c r="M163" s="226">
        <f>IFERROR(K163-L163-IFERROR(INDEX(Servicios!$F:$F,MATCH($D163,Servicios!$A:$A,0)),0),0)</f>
        <v>31460</v>
      </c>
    </row>
    <row r="164" spans="1:13" ht="15" customHeight="1" x14ac:dyDescent="0.3">
      <c r="A164" s="164">
        <v>46233</v>
      </c>
      <c r="B164" s="231" t="str">
        <f t="shared" si="4"/>
        <v>jue</v>
      </c>
      <c r="C164" s="146" t="s">
        <v>113</v>
      </c>
      <c r="D164" s="146" t="s">
        <v>148</v>
      </c>
      <c r="E164" s="231" t="str">
        <f>IFERROR(INDEX(Servicios!$B:$B,MATCH($D164,Servicios!$A:$A,0)),"")</f>
        <v>Barba y perfilado</v>
      </c>
      <c r="F164" s="146" t="s">
        <v>237</v>
      </c>
      <c r="G164" s="146" t="s">
        <v>41</v>
      </c>
      <c r="H164" s="230">
        <f>IFERROR(INDEX(Servicios!$D:$D,MATCH($D164,Servicios!$A:$A,0)),0)</f>
        <v>25</v>
      </c>
      <c r="I164" s="226">
        <f>IFERROR(INDEX(Servicios!$E:$E,MATCH($D164,Servicios!$A:$A,0)),0)</f>
        <v>20000</v>
      </c>
      <c r="J164" s="148">
        <v>0.15</v>
      </c>
      <c r="K164" s="226">
        <f t="shared" si="5"/>
        <v>17000</v>
      </c>
      <c r="L164" s="226">
        <f>IFERROR(K164*IFERROR(INDEX(Servicios!$G:$G,MATCH($D164,Servicios!$A:$A,0)),0),0)</f>
        <v>5440</v>
      </c>
      <c r="M164" s="226">
        <f>IFERROR(K164-L164-IFERROR(INDEX(Servicios!$F:$F,MATCH($D164,Servicios!$A:$A,0)),0),0)</f>
        <v>11560</v>
      </c>
    </row>
    <row r="165" spans="1:13" ht="15" customHeight="1" x14ac:dyDescent="0.3">
      <c r="A165" s="164">
        <v>46233</v>
      </c>
      <c r="B165" s="231" t="str">
        <f t="shared" si="4"/>
        <v>jue</v>
      </c>
      <c r="C165" s="146" t="s">
        <v>113</v>
      </c>
      <c r="D165" s="146" t="s">
        <v>148</v>
      </c>
      <c r="E165" s="231" t="str">
        <f>IFERROR(INDEX(Servicios!$B:$B,MATCH($D165,Servicios!$A:$A,0)),"")</f>
        <v>Barba y perfilado</v>
      </c>
      <c r="F165" s="146" t="s">
        <v>279</v>
      </c>
      <c r="G165" s="146" t="s">
        <v>41</v>
      </c>
      <c r="H165" s="230">
        <f>IFERROR(INDEX(Servicios!$D:$D,MATCH($D165,Servicios!$A:$A,0)),0)</f>
        <v>25</v>
      </c>
      <c r="I165" s="226">
        <f>IFERROR(INDEX(Servicios!$E:$E,MATCH($D165,Servicios!$A:$A,0)),0)</f>
        <v>20000</v>
      </c>
      <c r="J165" s="156"/>
      <c r="K165" s="226">
        <f t="shared" si="5"/>
        <v>20000</v>
      </c>
      <c r="L165" s="226">
        <f>IFERROR(K165*IFERROR(INDEX(Servicios!$G:$G,MATCH($D165,Servicios!$A:$A,0)),0),0)</f>
        <v>6400</v>
      </c>
      <c r="M165" s="226">
        <f>IFERROR(K165-L165-IFERROR(INDEX(Servicios!$F:$F,MATCH($D165,Servicios!$A:$A,0)),0),0)</f>
        <v>13600</v>
      </c>
    </row>
    <row r="166" spans="1:13" ht="15" customHeight="1" x14ac:dyDescent="0.3">
      <c r="A166" s="164">
        <v>46233</v>
      </c>
      <c r="B166" s="231" t="str">
        <f t="shared" si="4"/>
        <v>jue</v>
      </c>
      <c r="C166" s="146" t="s">
        <v>113</v>
      </c>
      <c r="D166" s="146" t="s">
        <v>148</v>
      </c>
      <c r="E166" s="231" t="str">
        <f>IFERROR(INDEX(Servicios!$B:$B,MATCH($D166,Servicios!$A:$A,0)),"")</f>
        <v>Barba y perfilado</v>
      </c>
      <c r="F166" s="146" t="s">
        <v>263</v>
      </c>
      <c r="G166" s="146" t="s">
        <v>43</v>
      </c>
      <c r="H166" s="230">
        <f>IFERROR(INDEX(Servicios!$D:$D,MATCH($D166,Servicios!$A:$A,0)),0)</f>
        <v>25</v>
      </c>
      <c r="I166" s="226">
        <f>IFERROR(INDEX(Servicios!$E:$E,MATCH($D166,Servicios!$A:$A,0)),0)</f>
        <v>20000</v>
      </c>
      <c r="J166" s="156"/>
      <c r="K166" s="226">
        <f t="shared" si="5"/>
        <v>20000</v>
      </c>
      <c r="L166" s="226">
        <f>IFERROR(K166*IFERROR(INDEX(Servicios!$G:$G,MATCH($D166,Servicios!$A:$A,0)),0),0)</f>
        <v>6400</v>
      </c>
      <c r="M166" s="226">
        <f>IFERROR(K166-L166-IFERROR(INDEX(Servicios!$F:$F,MATCH($D166,Servicios!$A:$A,0)),0),0)</f>
        <v>13600</v>
      </c>
    </row>
    <row r="167" spans="1:13" ht="15" customHeight="1" x14ac:dyDescent="0.3">
      <c r="A167" s="164">
        <v>46233</v>
      </c>
      <c r="B167" s="231" t="str">
        <f t="shared" si="4"/>
        <v>jue</v>
      </c>
      <c r="C167" s="146" t="s">
        <v>110</v>
      </c>
      <c r="D167" s="146" t="s">
        <v>153</v>
      </c>
      <c r="E167" s="231" t="str">
        <f>IFERROR(INDEX(Servicios!$B:$B,MATCH($D167,Servicios!$A:$A,0)),"")</f>
        <v>Retoque de color</v>
      </c>
      <c r="F167" s="146" t="s">
        <v>276</v>
      </c>
      <c r="G167" s="146" t="s">
        <v>43</v>
      </c>
      <c r="H167" s="230">
        <f>IFERROR(INDEX(Servicios!$D:$D,MATCH($D167,Servicios!$A:$A,0)),0)</f>
        <v>60</v>
      </c>
      <c r="I167" s="226">
        <f>IFERROR(INDEX(Servicios!$E:$E,MATCH($D167,Servicios!$A:$A,0)),0)</f>
        <v>75000</v>
      </c>
      <c r="J167" s="156"/>
      <c r="K167" s="226">
        <f t="shared" si="5"/>
        <v>75000</v>
      </c>
      <c r="L167" s="226">
        <f>IFERROR(K167*IFERROR(INDEX(Servicios!$G:$G,MATCH($D167,Servicios!$A:$A,0)),0),0)</f>
        <v>24750</v>
      </c>
      <c r="M167" s="226">
        <f>IFERROR(K167-L167-IFERROR(INDEX(Servicios!$F:$F,MATCH($D167,Servicios!$A:$A,0)),0),0)</f>
        <v>46454</v>
      </c>
    </row>
    <row r="168" spans="1:13" ht="15" customHeight="1" x14ac:dyDescent="0.3">
      <c r="A168" s="164">
        <v>46233</v>
      </c>
      <c r="B168" s="231" t="str">
        <f t="shared" si="4"/>
        <v>jue</v>
      </c>
      <c r="C168" s="146" t="s">
        <v>110</v>
      </c>
      <c r="D168" s="146" t="s">
        <v>157</v>
      </c>
      <c r="E168" s="231" t="str">
        <f>IFERROR(INDEX(Servicios!$B:$B,MATCH($D168,Servicios!$A:$A,0)),"")</f>
        <v>Hidratación profunda</v>
      </c>
      <c r="F168" s="146" t="s">
        <v>280</v>
      </c>
      <c r="G168" s="146" t="s">
        <v>236</v>
      </c>
      <c r="H168" s="230">
        <f>IFERROR(INDEX(Servicios!$D:$D,MATCH($D168,Servicios!$A:$A,0)),0)</f>
        <v>45</v>
      </c>
      <c r="I168" s="226">
        <f>IFERROR(INDEX(Servicios!$E:$E,MATCH($D168,Servicios!$A:$A,0)),0)</f>
        <v>65000</v>
      </c>
      <c r="J168" s="156"/>
      <c r="K168" s="226">
        <f t="shared" si="5"/>
        <v>65000</v>
      </c>
      <c r="L168" s="226">
        <f>IFERROR(K168*IFERROR(INDEX(Servicios!$G:$G,MATCH($D168,Servicios!$A:$A,0)),0),0)</f>
        <v>19500</v>
      </c>
      <c r="M168" s="226">
        <f>IFERROR(K168-L168-IFERROR(INDEX(Servicios!$F:$F,MATCH($D168,Servicios!$A:$A,0)),0),0)</f>
        <v>39900</v>
      </c>
    </row>
    <row r="169" spans="1:13" ht="15" customHeight="1" x14ac:dyDescent="0.3">
      <c r="A169" s="164">
        <v>46233</v>
      </c>
      <c r="B169" s="231" t="str">
        <f t="shared" si="4"/>
        <v>jue</v>
      </c>
      <c r="C169" s="146" t="s">
        <v>116</v>
      </c>
      <c r="D169" s="146" t="s">
        <v>163</v>
      </c>
      <c r="E169" s="231" t="str">
        <f>IFERROR(INDEX(Servicios!$B:$B,MATCH($D169,Servicios!$A:$A,0)),"")</f>
        <v>Pedicure spa</v>
      </c>
      <c r="F169" s="146" t="s">
        <v>259</v>
      </c>
      <c r="G169" s="146" t="s">
        <v>236</v>
      </c>
      <c r="H169" s="230">
        <f>IFERROR(INDEX(Servicios!$D:$D,MATCH($D169,Servicios!$A:$A,0)),0)</f>
        <v>70</v>
      </c>
      <c r="I169" s="226">
        <f>IFERROR(INDEX(Servicios!$E:$E,MATCH($D169,Servicios!$A:$A,0)),0)</f>
        <v>62000</v>
      </c>
      <c r="J169" s="156"/>
      <c r="K169" s="226">
        <f t="shared" si="5"/>
        <v>62000</v>
      </c>
      <c r="L169" s="226">
        <f>IFERROR(K169*IFERROR(INDEX(Servicios!$G:$G,MATCH($D169,Servicios!$A:$A,0)),0),0)</f>
        <v>17360</v>
      </c>
      <c r="M169" s="226">
        <f>IFERROR(K169-L169-IFERROR(INDEX(Servicios!$F:$F,MATCH($D169,Servicios!$A:$A,0)),0),0)</f>
        <v>38265</v>
      </c>
    </row>
    <row r="170" spans="1:13" ht="15" customHeight="1" x14ac:dyDescent="0.3">
      <c r="A170" s="165">
        <v>46214</v>
      </c>
      <c r="B170" s="231" t="str">
        <f t="shared" si="4"/>
        <v>sáb</v>
      </c>
      <c r="C170" s="166" t="s">
        <v>104</v>
      </c>
      <c r="D170" s="166" t="s">
        <v>135</v>
      </c>
      <c r="E170" s="231" t="str">
        <f>IFERROR(INDEX(Servicios!$B:$B,MATCH($D170,Servicios!$A:$A,0)),"")</f>
        <v>Keratina</v>
      </c>
      <c r="F170" s="166" t="s">
        <v>242</v>
      </c>
      <c r="G170" s="166" t="s">
        <v>41</v>
      </c>
      <c r="H170" s="230">
        <f>IFERROR(INDEX(Servicios!$D:$D,MATCH($D170,Servicios!$A:$A,0)),0)</f>
        <v>150</v>
      </c>
      <c r="I170" s="226">
        <f>IFERROR(INDEX(Servicios!$E:$E,MATCH($D170,Servicios!$A:$A,0)),0)</f>
        <v>280000</v>
      </c>
      <c r="J170" s="156"/>
      <c r="K170" s="226">
        <f t="shared" si="5"/>
        <v>280000</v>
      </c>
      <c r="L170" s="226">
        <f>IFERROR(K170*IFERROR(INDEX(Servicios!$G:$G,MATCH($D170,Servicios!$A:$A,0)),0),0)</f>
        <v>98000</v>
      </c>
      <c r="M170" s="226">
        <f>IFERROR(K170-L170-IFERROR(INDEX(Servicios!$F:$F,MATCH($D170,Servicios!$A:$A,0)),0),0)</f>
        <v>163100</v>
      </c>
    </row>
    <row r="171" spans="1:13" ht="15" customHeight="1" x14ac:dyDescent="0.3">
      <c r="A171" s="165">
        <v>46214</v>
      </c>
      <c r="B171" s="231" t="str">
        <f t="shared" si="4"/>
        <v>sáb</v>
      </c>
      <c r="C171" s="166" t="s">
        <v>107</v>
      </c>
      <c r="D171" s="166" t="s">
        <v>138</v>
      </c>
      <c r="E171" s="231" t="str">
        <f>IFERROR(INDEX(Servicios!$B:$B,MATCH($D171,Servicios!$A:$A,0)),"")</f>
        <v>Manicure</v>
      </c>
      <c r="F171" s="166" t="s">
        <v>230</v>
      </c>
      <c r="G171" s="166" t="s">
        <v>41</v>
      </c>
      <c r="H171" s="230">
        <f>IFERROR(INDEX(Servicios!$D:$D,MATCH($D171,Servicios!$A:$A,0)),0)</f>
        <v>45</v>
      </c>
      <c r="I171" s="226">
        <f>IFERROR(INDEX(Servicios!$E:$E,MATCH($D171,Servicios!$A:$A,0)),0)</f>
        <v>35000</v>
      </c>
      <c r="J171" s="156"/>
      <c r="K171" s="226">
        <f t="shared" si="5"/>
        <v>35000</v>
      </c>
      <c r="L171" s="226">
        <f>IFERROR(K171*IFERROR(INDEX(Servicios!$G:$G,MATCH($D171,Servicios!$A:$A,0)),0),0)</f>
        <v>8750</v>
      </c>
      <c r="M171" s="226">
        <f>IFERROR(K171-L171-IFERROR(INDEX(Servicios!$F:$F,MATCH($D171,Servicios!$A:$A,0)),0),0)</f>
        <v>25740</v>
      </c>
    </row>
    <row r="172" spans="1:13" ht="15" customHeight="1" x14ac:dyDescent="0.3">
      <c r="A172" s="165">
        <v>46214</v>
      </c>
      <c r="B172" s="231" t="str">
        <f t="shared" si="4"/>
        <v>sáb</v>
      </c>
      <c r="C172" s="166" t="s">
        <v>107</v>
      </c>
      <c r="D172" s="166" t="s">
        <v>138</v>
      </c>
      <c r="E172" s="231" t="str">
        <f>IFERROR(INDEX(Servicios!$B:$B,MATCH($D172,Servicios!$A:$A,0)),"")</f>
        <v>Manicure</v>
      </c>
      <c r="F172" s="166" t="s">
        <v>264</v>
      </c>
      <c r="G172" s="166" t="s">
        <v>41</v>
      </c>
      <c r="H172" s="230">
        <f>IFERROR(INDEX(Servicios!$D:$D,MATCH($D172,Servicios!$A:$A,0)),0)</f>
        <v>45</v>
      </c>
      <c r="I172" s="226">
        <f>IFERROR(INDEX(Servicios!$E:$E,MATCH($D172,Servicios!$A:$A,0)),0)</f>
        <v>35000</v>
      </c>
      <c r="J172" s="156"/>
      <c r="K172" s="226">
        <f t="shared" si="5"/>
        <v>35000</v>
      </c>
      <c r="L172" s="226">
        <f>IFERROR(K172*IFERROR(INDEX(Servicios!$G:$G,MATCH($D172,Servicios!$A:$A,0)),0),0)</f>
        <v>8750</v>
      </c>
      <c r="M172" s="226">
        <f>IFERROR(K172-L172-IFERROR(INDEX(Servicios!$F:$F,MATCH($D172,Servicios!$A:$A,0)),0),0)</f>
        <v>25740</v>
      </c>
    </row>
    <row r="173" spans="1:13" ht="15" customHeight="1" x14ac:dyDescent="0.3">
      <c r="A173" s="165">
        <v>46214</v>
      </c>
      <c r="B173" s="231" t="str">
        <f t="shared" si="4"/>
        <v>sáb</v>
      </c>
      <c r="C173" s="166" t="s">
        <v>107</v>
      </c>
      <c r="D173" s="166" t="s">
        <v>138</v>
      </c>
      <c r="E173" s="231" t="str">
        <f>IFERROR(INDEX(Servicios!$B:$B,MATCH($D173,Servicios!$A:$A,0)),"")</f>
        <v>Manicure</v>
      </c>
      <c r="F173" s="166" t="s">
        <v>281</v>
      </c>
      <c r="G173" s="166" t="s">
        <v>43</v>
      </c>
      <c r="H173" s="230">
        <f>IFERROR(INDEX(Servicios!$D:$D,MATCH($D173,Servicios!$A:$A,0)),0)</f>
        <v>45</v>
      </c>
      <c r="I173" s="226">
        <f>IFERROR(INDEX(Servicios!$E:$E,MATCH($D173,Servicios!$A:$A,0)),0)</f>
        <v>35000</v>
      </c>
      <c r="J173" s="156"/>
      <c r="K173" s="226">
        <f t="shared" si="5"/>
        <v>35000</v>
      </c>
      <c r="L173" s="226">
        <f>IFERROR(K173*IFERROR(INDEX(Servicios!$G:$G,MATCH($D173,Servicios!$A:$A,0)),0),0)</f>
        <v>8750</v>
      </c>
      <c r="M173" s="226">
        <f>IFERROR(K173-L173-IFERROR(INDEX(Servicios!$F:$F,MATCH($D173,Servicios!$A:$A,0)),0),0)</f>
        <v>25740</v>
      </c>
    </row>
    <row r="174" spans="1:13" ht="15" customHeight="1" x14ac:dyDescent="0.3">
      <c r="A174" s="165">
        <v>46214</v>
      </c>
      <c r="B174" s="231" t="str">
        <f t="shared" si="4"/>
        <v>sáb</v>
      </c>
      <c r="C174" s="166" t="s">
        <v>107</v>
      </c>
      <c r="D174" s="166" t="s">
        <v>138</v>
      </c>
      <c r="E174" s="231" t="str">
        <f>IFERROR(INDEX(Servicios!$B:$B,MATCH($D174,Servicios!$A:$A,0)),"")</f>
        <v>Manicure</v>
      </c>
      <c r="F174" s="166" t="s">
        <v>237</v>
      </c>
      <c r="G174" s="166" t="s">
        <v>41</v>
      </c>
      <c r="H174" s="230">
        <f>IFERROR(INDEX(Servicios!$D:$D,MATCH($D174,Servicios!$A:$A,0)),0)</f>
        <v>45</v>
      </c>
      <c r="I174" s="226">
        <f>IFERROR(INDEX(Servicios!$E:$E,MATCH($D174,Servicios!$A:$A,0)),0)</f>
        <v>35000</v>
      </c>
      <c r="J174" s="156"/>
      <c r="K174" s="226">
        <f t="shared" si="5"/>
        <v>35000</v>
      </c>
      <c r="L174" s="226">
        <f>IFERROR(K174*IFERROR(INDEX(Servicios!$G:$G,MATCH($D174,Servicios!$A:$A,0)),0),0)</f>
        <v>8750</v>
      </c>
      <c r="M174" s="226">
        <f>IFERROR(K174-L174-IFERROR(INDEX(Servicios!$F:$F,MATCH($D174,Servicios!$A:$A,0)),0),0)</f>
        <v>25740</v>
      </c>
    </row>
    <row r="175" spans="1:13" ht="15" customHeight="1" x14ac:dyDescent="0.3">
      <c r="A175" s="165">
        <v>46214</v>
      </c>
      <c r="B175" s="231" t="str">
        <f t="shared" si="4"/>
        <v>sáb</v>
      </c>
      <c r="C175" s="166" t="s">
        <v>107</v>
      </c>
      <c r="D175" s="166" t="s">
        <v>138</v>
      </c>
      <c r="E175" s="231" t="str">
        <f>IFERROR(INDEX(Servicios!$B:$B,MATCH($D175,Servicios!$A:$A,0)),"")</f>
        <v>Manicure</v>
      </c>
      <c r="F175" s="166" t="s">
        <v>223</v>
      </c>
      <c r="G175" s="166" t="s">
        <v>41</v>
      </c>
      <c r="H175" s="230">
        <f>IFERROR(INDEX(Servicios!$D:$D,MATCH($D175,Servicios!$A:$A,0)),0)</f>
        <v>45</v>
      </c>
      <c r="I175" s="226">
        <f>IFERROR(INDEX(Servicios!$E:$E,MATCH($D175,Servicios!$A:$A,0)),0)</f>
        <v>35000</v>
      </c>
      <c r="J175" s="156"/>
      <c r="K175" s="226">
        <f t="shared" si="5"/>
        <v>35000</v>
      </c>
      <c r="L175" s="226">
        <f>IFERROR(K175*IFERROR(INDEX(Servicios!$G:$G,MATCH($D175,Servicios!$A:$A,0)),0),0)</f>
        <v>8750</v>
      </c>
      <c r="M175" s="226">
        <f>IFERROR(K175-L175-IFERROR(INDEX(Servicios!$F:$F,MATCH($D175,Servicios!$A:$A,0)),0),0)</f>
        <v>25740</v>
      </c>
    </row>
    <row r="176" spans="1:13" ht="15" customHeight="1" x14ac:dyDescent="0.3">
      <c r="A176" s="165">
        <v>46214</v>
      </c>
      <c r="B176" s="231" t="str">
        <f t="shared" si="4"/>
        <v>sáb</v>
      </c>
      <c r="C176" s="166" t="s">
        <v>107</v>
      </c>
      <c r="D176" s="166" t="s">
        <v>138</v>
      </c>
      <c r="E176" s="231" t="str">
        <f>IFERROR(INDEX(Servicios!$B:$B,MATCH($D176,Servicios!$A:$A,0)),"")</f>
        <v>Manicure</v>
      </c>
      <c r="F176" s="166" t="s">
        <v>282</v>
      </c>
      <c r="G176" s="166" t="s">
        <v>43</v>
      </c>
      <c r="H176" s="230">
        <f>IFERROR(INDEX(Servicios!$D:$D,MATCH($D176,Servicios!$A:$A,0)),0)</f>
        <v>45</v>
      </c>
      <c r="I176" s="226">
        <f>IFERROR(INDEX(Servicios!$E:$E,MATCH($D176,Servicios!$A:$A,0)),0)</f>
        <v>35000</v>
      </c>
      <c r="J176" s="156"/>
      <c r="K176" s="226">
        <f t="shared" si="5"/>
        <v>35000</v>
      </c>
      <c r="L176" s="226">
        <f>IFERROR(K176*IFERROR(INDEX(Servicios!$G:$G,MATCH($D176,Servicios!$A:$A,0)),0),0)</f>
        <v>8750</v>
      </c>
      <c r="M176" s="226">
        <f>IFERROR(K176-L176-IFERROR(INDEX(Servicios!$F:$F,MATCH($D176,Servicios!$A:$A,0)),0),0)</f>
        <v>25740</v>
      </c>
    </row>
    <row r="177" spans="1:13" ht="15" customHeight="1" x14ac:dyDescent="0.3">
      <c r="A177" s="165">
        <v>46216</v>
      </c>
      <c r="B177" s="231" t="str">
        <f t="shared" si="4"/>
        <v>lun</v>
      </c>
      <c r="C177" s="166" t="s">
        <v>98</v>
      </c>
      <c r="D177" s="166" t="s">
        <v>125</v>
      </c>
      <c r="E177" s="231" t="str">
        <f>IFERROR(INDEX(Servicios!$B:$B,MATCH($D177,Servicios!$A:$A,0)),"")</f>
        <v>Corte dama</v>
      </c>
      <c r="F177" s="166" t="s">
        <v>252</v>
      </c>
      <c r="G177" s="166" t="s">
        <v>41</v>
      </c>
      <c r="H177" s="230">
        <f>IFERROR(INDEX(Servicios!$D:$D,MATCH($D177,Servicios!$A:$A,0)),0)</f>
        <v>45</v>
      </c>
      <c r="I177" s="226">
        <f>IFERROR(INDEX(Servicios!$E:$E,MATCH($D177,Servicios!$A:$A,0)),0)</f>
        <v>45000</v>
      </c>
      <c r="J177" s="156"/>
      <c r="K177" s="226">
        <f t="shared" si="5"/>
        <v>45000</v>
      </c>
      <c r="L177" s="226">
        <f>IFERROR(K177*IFERROR(INDEX(Servicios!$G:$G,MATCH($D177,Servicios!$A:$A,0)),0),0)</f>
        <v>13500</v>
      </c>
      <c r="M177" s="226">
        <f>IFERROR(K177-L177-IFERROR(INDEX(Servicios!$F:$F,MATCH($D177,Servicios!$A:$A,0)),0),0)</f>
        <v>30840</v>
      </c>
    </row>
    <row r="178" spans="1:13" ht="15" customHeight="1" x14ac:dyDescent="0.3">
      <c r="A178" s="165">
        <v>46216</v>
      </c>
      <c r="B178" s="231" t="str">
        <f t="shared" si="4"/>
        <v>lun</v>
      </c>
      <c r="C178" s="166" t="s">
        <v>98</v>
      </c>
      <c r="D178" s="166" t="s">
        <v>125</v>
      </c>
      <c r="E178" s="231" t="str">
        <f>IFERROR(INDEX(Servicios!$B:$B,MATCH($D178,Servicios!$A:$A,0)),"")</f>
        <v>Corte dama</v>
      </c>
      <c r="F178" s="166" t="s">
        <v>279</v>
      </c>
      <c r="G178" s="166" t="s">
        <v>41</v>
      </c>
      <c r="H178" s="230">
        <f>IFERROR(INDEX(Servicios!$D:$D,MATCH($D178,Servicios!$A:$A,0)),0)</f>
        <v>45</v>
      </c>
      <c r="I178" s="226">
        <f>IFERROR(INDEX(Servicios!$E:$E,MATCH($D178,Servicios!$A:$A,0)),0)</f>
        <v>45000</v>
      </c>
      <c r="J178" s="156"/>
      <c r="K178" s="226">
        <f t="shared" si="5"/>
        <v>45000</v>
      </c>
      <c r="L178" s="226">
        <f>IFERROR(K178*IFERROR(INDEX(Servicios!$G:$G,MATCH($D178,Servicios!$A:$A,0)),0),0)</f>
        <v>13500</v>
      </c>
      <c r="M178" s="226">
        <f>IFERROR(K178-L178-IFERROR(INDEX(Servicios!$F:$F,MATCH($D178,Servicios!$A:$A,0)),0),0)</f>
        <v>30840</v>
      </c>
    </row>
    <row r="179" spans="1:13" ht="15" customHeight="1" x14ac:dyDescent="0.3">
      <c r="A179" s="165">
        <v>46216</v>
      </c>
      <c r="B179" s="231" t="str">
        <f t="shared" si="4"/>
        <v>lun</v>
      </c>
      <c r="C179" s="166" t="s">
        <v>98</v>
      </c>
      <c r="D179" s="166" t="s">
        <v>144</v>
      </c>
      <c r="E179" s="231" t="str">
        <f>IFERROR(INDEX(Servicios!$B:$B,MATCH($D179,Servicios!$A:$A,0)),"")</f>
        <v>Cepillado y secado</v>
      </c>
      <c r="F179" s="166" t="s">
        <v>266</v>
      </c>
      <c r="G179" s="166" t="s">
        <v>41</v>
      </c>
      <c r="H179" s="230">
        <f>IFERROR(INDEX(Servicios!$D:$D,MATCH($D179,Servicios!$A:$A,0)),0)</f>
        <v>30</v>
      </c>
      <c r="I179" s="226">
        <f>IFERROR(INDEX(Servicios!$E:$E,MATCH($D179,Servicios!$A:$A,0)),0)</f>
        <v>38000</v>
      </c>
      <c r="J179" s="156"/>
      <c r="K179" s="226">
        <f t="shared" si="5"/>
        <v>38000</v>
      </c>
      <c r="L179" s="226">
        <f>IFERROR(K179*IFERROR(INDEX(Servicios!$G:$G,MATCH($D179,Servicios!$A:$A,0)),0),0)</f>
        <v>11400</v>
      </c>
      <c r="M179" s="226">
        <f>IFERROR(K179-L179-IFERROR(INDEX(Servicios!$F:$F,MATCH($D179,Servicios!$A:$A,0)),0),0)</f>
        <v>26600</v>
      </c>
    </row>
    <row r="180" spans="1:13" ht="15" customHeight="1" x14ac:dyDescent="0.3">
      <c r="A180" s="165">
        <v>46216</v>
      </c>
      <c r="B180" s="231" t="str">
        <f t="shared" si="4"/>
        <v>lun</v>
      </c>
      <c r="C180" s="166" t="s">
        <v>98</v>
      </c>
      <c r="D180" s="166" t="s">
        <v>141</v>
      </c>
      <c r="E180" s="231" t="str">
        <f>IFERROR(INDEX(Servicios!$B:$B,MATCH($D180,Servicios!$A:$A,0)),"")</f>
        <v>Peinado / brushing</v>
      </c>
      <c r="F180" s="166" t="s">
        <v>261</v>
      </c>
      <c r="G180" s="166" t="s">
        <v>43</v>
      </c>
      <c r="H180" s="230">
        <f>IFERROR(INDEX(Servicios!$D:$D,MATCH($D180,Servicios!$A:$A,0)),0)</f>
        <v>40</v>
      </c>
      <c r="I180" s="226">
        <f>IFERROR(INDEX(Servicios!$E:$E,MATCH($D180,Servicios!$A:$A,0)),0)</f>
        <v>55000</v>
      </c>
      <c r="J180" s="156"/>
      <c r="K180" s="226">
        <f t="shared" si="5"/>
        <v>55000</v>
      </c>
      <c r="L180" s="226">
        <f>IFERROR(K180*IFERROR(INDEX(Servicios!$G:$G,MATCH($D180,Servicios!$A:$A,0)),0),0)</f>
        <v>16500</v>
      </c>
      <c r="M180" s="226">
        <f>IFERROR(K180-L180-IFERROR(INDEX(Servicios!$F:$F,MATCH($D180,Servicios!$A:$A,0)),0),0)</f>
        <v>38500</v>
      </c>
    </row>
    <row r="181" spans="1:13" ht="15" customHeight="1" x14ac:dyDescent="0.3">
      <c r="A181" s="165">
        <v>46216</v>
      </c>
      <c r="B181" s="231" t="str">
        <f t="shared" si="4"/>
        <v>lun</v>
      </c>
      <c r="C181" s="166" t="s">
        <v>98</v>
      </c>
      <c r="D181" s="166" t="s">
        <v>125</v>
      </c>
      <c r="E181" s="231" t="str">
        <f>IFERROR(INDEX(Servicios!$B:$B,MATCH($D181,Servicios!$A:$A,0)),"")</f>
        <v>Corte dama</v>
      </c>
      <c r="F181" s="166" t="s">
        <v>283</v>
      </c>
      <c r="G181" s="166" t="s">
        <v>43</v>
      </c>
      <c r="H181" s="230">
        <f>IFERROR(INDEX(Servicios!$D:$D,MATCH($D181,Servicios!$A:$A,0)),0)</f>
        <v>45</v>
      </c>
      <c r="I181" s="226">
        <f>IFERROR(INDEX(Servicios!$E:$E,MATCH($D181,Servicios!$A:$A,0)),0)</f>
        <v>45000</v>
      </c>
      <c r="J181" s="156"/>
      <c r="K181" s="226">
        <f t="shared" si="5"/>
        <v>45000</v>
      </c>
      <c r="L181" s="226">
        <f>IFERROR(K181*IFERROR(INDEX(Servicios!$G:$G,MATCH($D181,Servicios!$A:$A,0)),0),0)</f>
        <v>13500</v>
      </c>
      <c r="M181" s="226">
        <f>IFERROR(K181-L181-IFERROR(INDEX(Servicios!$F:$F,MATCH($D181,Servicios!$A:$A,0)),0),0)</f>
        <v>30840</v>
      </c>
    </row>
    <row r="182" spans="1:13" ht="15" customHeight="1" x14ac:dyDescent="0.3">
      <c r="A182" s="165">
        <v>46216</v>
      </c>
      <c r="B182" s="231" t="str">
        <f t="shared" si="4"/>
        <v>lun</v>
      </c>
      <c r="C182" s="166" t="s">
        <v>98</v>
      </c>
      <c r="D182" s="166" t="s">
        <v>144</v>
      </c>
      <c r="E182" s="231" t="str">
        <f>IFERROR(INDEX(Servicios!$B:$B,MATCH($D182,Servicios!$A:$A,0)),"")</f>
        <v>Cepillado y secado</v>
      </c>
      <c r="F182" s="166" t="s">
        <v>251</v>
      </c>
      <c r="G182" s="166" t="s">
        <v>41</v>
      </c>
      <c r="H182" s="230">
        <f>IFERROR(INDEX(Servicios!$D:$D,MATCH($D182,Servicios!$A:$A,0)),0)</f>
        <v>30</v>
      </c>
      <c r="I182" s="226">
        <f>IFERROR(INDEX(Servicios!$E:$E,MATCH($D182,Servicios!$A:$A,0)),0)</f>
        <v>38000</v>
      </c>
      <c r="J182" s="156"/>
      <c r="K182" s="226">
        <f t="shared" si="5"/>
        <v>38000</v>
      </c>
      <c r="L182" s="226">
        <f>IFERROR(K182*IFERROR(INDEX(Servicios!$G:$G,MATCH($D182,Servicios!$A:$A,0)),0),0)</f>
        <v>11400</v>
      </c>
      <c r="M182" s="226">
        <f>IFERROR(K182-L182-IFERROR(INDEX(Servicios!$F:$F,MATCH($D182,Servicios!$A:$A,0)),0),0)</f>
        <v>26600</v>
      </c>
    </row>
    <row r="183" spans="1:13" ht="15" customHeight="1" x14ac:dyDescent="0.3">
      <c r="A183" s="165">
        <v>46216</v>
      </c>
      <c r="B183" s="231" t="str">
        <f t="shared" si="4"/>
        <v>lun</v>
      </c>
      <c r="C183" s="166" t="s">
        <v>98</v>
      </c>
      <c r="D183" s="166" t="s">
        <v>125</v>
      </c>
      <c r="E183" s="231" t="str">
        <f>IFERROR(INDEX(Servicios!$B:$B,MATCH($D183,Servicios!$A:$A,0)),"")</f>
        <v>Corte dama</v>
      </c>
      <c r="F183" s="166" t="s">
        <v>255</v>
      </c>
      <c r="G183" s="166" t="s">
        <v>41</v>
      </c>
      <c r="H183" s="230">
        <f>IFERROR(INDEX(Servicios!$D:$D,MATCH($D183,Servicios!$A:$A,0)),0)</f>
        <v>45</v>
      </c>
      <c r="I183" s="226">
        <f>IFERROR(INDEX(Servicios!$E:$E,MATCH($D183,Servicios!$A:$A,0)),0)</f>
        <v>45000</v>
      </c>
      <c r="J183" s="156"/>
      <c r="K183" s="226">
        <f t="shared" si="5"/>
        <v>45000</v>
      </c>
      <c r="L183" s="226">
        <f>IFERROR(K183*IFERROR(INDEX(Servicios!$G:$G,MATCH($D183,Servicios!$A:$A,0)),0),0)</f>
        <v>13500</v>
      </c>
      <c r="M183" s="226">
        <f>IFERROR(K183-L183-IFERROR(INDEX(Servicios!$F:$F,MATCH($D183,Servicios!$A:$A,0)),0),0)</f>
        <v>30840</v>
      </c>
    </row>
    <row r="184" spans="1:13" ht="15" customHeight="1" x14ac:dyDescent="0.3">
      <c r="A184" s="165">
        <v>46216</v>
      </c>
      <c r="B184" s="231" t="str">
        <f t="shared" si="4"/>
        <v>lun</v>
      </c>
      <c r="C184" s="166" t="s">
        <v>98</v>
      </c>
      <c r="D184" s="166" t="s">
        <v>144</v>
      </c>
      <c r="E184" s="231" t="str">
        <f>IFERROR(INDEX(Servicios!$B:$B,MATCH($D184,Servicios!$A:$A,0)),"")</f>
        <v>Cepillado y secado</v>
      </c>
      <c r="F184" s="166" t="s">
        <v>284</v>
      </c>
      <c r="G184" s="166" t="s">
        <v>43</v>
      </c>
      <c r="H184" s="230">
        <f>IFERROR(INDEX(Servicios!$D:$D,MATCH($D184,Servicios!$A:$A,0)),0)</f>
        <v>30</v>
      </c>
      <c r="I184" s="226">
        <f>IFERROR(INDEX(Servicios!$E:$E,MATCH($D184,Servicios!$A:$A,0)),0)</f>
        <v>38000</v>
      </c>
      <c r="J184" s="156"/>
      <c r="K184" s="226">
        <f t="shared" si="5"/>
        <v>38000</v>
      </c>
      <c r="L184" s="226">
        <f>IFERROR(K184*IFERROR(INDEX(Servicios!$G:$G,MATCH($D184,Servicios!$A:$A,0)),0),0)</f>
        <v>11400</v>
      </c>
      <c r="M184" s="226">
        <f>IFERROR(K184-L184-IFERROR(INDEX(Servicios!$F:$F,MATCH($D184,Servicios!$A:$A,0)),0),0)</f>
        <v>26600</v>
      </c>
    </row>
    <row r="185" spans="1:13" ht="15" customHeight="1" x14ac:dyDescent="0.3">
      <c r="A185" s="165">
        <v>46216</v>
      </c>
      <c r="B185" s="231" t="str">
        <f t="shared" si="4"/>
        <v>lun</v>
      </c>
      <c r="C185" s="166" t="s">
        <v>98</v>
      </c>
      <c r="D185" s="166" t="s">
        <v>128</v>
      </c>
      <c r="E185" s="231" t="str">
        <f>IFERROR(INDEX(Servicios!$B:$B,MATCH($D185,Servicios!$A:$A,0)),"")</f>
        <v>Corte caballero</v>
      </c>
      <c r="F185" s="166" t="s">
        <v>272</v>
      </c>
      <c r="G185" s="166" t="s">
        <v>45</v>
      </c>
      <c r="H185" s="230">
        <f>IFERROR(INDEX(Servicios!$D:$D,MATCH($D185,Servicios!$A:$A,0)),0)</f>
        <v>30</v>
      </c>
      <c r="I185" s="226">
        <f>IFERROR(INDEX(Servicios!$E:$E,MATCH($D185,Servicios!$A:$A,0)),0)</f>
        <v>28000</v>
      </c>
      <c r="J185" s="156"/>
      <c r="K185" s="226">
        <f t="shared" si="5"/>
        <v>28000</v>
      </c>
      <c r="L185" s="226">
        <f>IFERROR(K185*IFERROR(INDEX(Servicios!$G:$G,MATCH($D185,Servicios!$A:$A,0)),0),0)</f>
        <v>8400</v>
      </c>
      <c r="M185" s="226">
        <f>IFERROR(K185-L185-IFERROR(INDEX(Servicios!$F:$F,MATCH($D185,Servicios!$A:$A,0)),0),0)</f>
        <v>19160</v>
      </c>
    </row>
    <row r="186" spans="1:13" ht="15" customHeight="1" x14ac:dyDescent="0.3">
      <c r="A186" s="165">
        <v>46216</v>
      </c>
      <c r="B186" s="231" t="str">
        <f t="shared" si="4"/>
        <v>lun</v>
      </c>
      <c r="C186" s="166" t="s">
        <v>98</v>
      </c>
      <c r="D186" s="166" t="s">
        <v>144</v>
      </c>
      <c r="E186" s="231" t="str">
        <f>IFERROR(INDEX(Servicios!$B:$B,MATCH($D186,Servicios!$A:$A,0)),"")</f>
        <v>Cepillado y secado</v>
      </c>
      <c r="F186" s="166" t="s">
        <v>247</v>
      </c>
      <c r="G186" s="166" t="s">
        <v>41</v>
      </c>
      <c r="H186" s="230">
        <f>IFERROR(INDEX(Servicios!$D:$D,MATCH($D186,Servicios!$A:$A,0)),0)</f>
        <v>30</v>
      </c>
      <c r="I186" s="226">
        <f>IFERROR(INDEX(Servicios!$E:$E,MATCH($D186,Servicios!$A:$A,0)),0)</f>
        <v>38000</v>
      </c>
      <c r="J186" s="156"/>
      <c r="K186" s="226">
        <f t="shared" si="5"/>
        <v>38000</v>
      </c>
      <c r="L186" s="226">
        <f>IFERROR(K186*IFERROR(INDEX(Servicios!$G:$G,MATCH($D186,Servicios!$A:$A,0)),0),0)</f>
        <v>11400</v>
      </c>
      <c r="M186" s="226">
        <f>IFERROR(K186-L186-IFERROR(INDEX(Servicios!$F:$F,MATCH($D186,Servicios!$A:$A,0)),0),0)</f>
        <v>26600</v>
      </c>
    </row>
    <row r="187" spans="1:13" ht="15" customHeight="1" x14ac:dyDescent="0.3">
      <c r="A187" s="165">
        <v>46216</v>
      </c>
      <c r="B187" s="231" t="str">
        <f t="shared" si="4"/>
        <v>lun</v>
      </c>
      <c r="C187" s="166" t="s">
        <v>101</v>
      </c>
      <c r="D187" s="166" t="s">
        <v>125</v>
      </c>
      <c r="E187" s="231" t="str">
        <f>IFERROR(INDEX(Servicios!$B:$B,MATCH($D187,Servicios!$A:$A,0)),"")</f>
        <v>Corte dama</v>
      </c>
      <c r="F187" s="166" t="s">
        <v>246</v>
      </c>
      <c r="G187" s="166" t="s">
        <v>41</v>
      </c>
      <c r="H187" s="230">
        <f>IFERROR(INDEX(Servicios!$D:$D,MATCH($D187,Servicios!$A:$A,0)),0)</f>
        <v>45</v>
      </c>
      <c r="I187" s="226">
        <f>IFERROR(INDEX(Servicios!$E:$E,MATCH($D187,Servicios!$A:$A,0)),0)</f>
        <v>45000</v>
      </c>
      <c r="J187" s="156"/>
      <c r="K187" s="226">
        <f t="shared" si="5"/>
        <v>45000</v>
      </c>
      <c r="L187" s="226">
        <f>IFERROR(K187*IFERROR(INDEX(Servicios!$G:$G,MATCH($D187,Servicios!$A:$A,0)),0),0)</f>
        <v>13500</v>
      </c>
      <c r="M187" s="226">
        <f>IFERROR(K187-L187-IFERROR(INDEX(Servicios!$F:$F,MATCH($D187,Servicios!$A:$A,0)),0),0)</f>
        <v>30840</v>
      </c>
    </row>
    <row r="188" spans="1:13" ht="15" customHeight="1" x14ac:dyDescent="0.3">
      <c r="A188" s="165">
        <v>46216</v>
      </c>
      <c r="B188" s="231" t="str">
        <f t="shared" si="4"/>
        <v>lun</v>
      </c>
      <c r="C188" s="166" t="s">
        <v>101</v>
      </c>
      <c r="D188" s="166" t="s">
        <v>125</v>
      </c>
      <c r="E188" s="231" t="str">
        <f>IFERROR(INDEX(Servicios!$B:$B,MATCH($D188,Servicios!$A:$A,0)),"")</f>
        <v>Corte dama</v>
      </c>
      <c r="F188" s="166" t="s">
        <v>254</v>
      </c>
      <c r="G188" s="166" t="s">
        <v>41</v>
      </c>
      <c r="H188" s="230">
        <f>IFERROR(INDEX(Servicios!$D:$D,MATCH($D188,Servicios!$A:$A,0)),0)</f>
        <v>45</v>
      </c>
      <c r="I188" s="226">
        <f>IFERROR(INDEX(Servicios!$E:$E,MATCH($D188,Servicios!$A:$A,0)),0)</f>
        <v>45000</v>
      </c>
      <c r="J188" s="156"/>
      <c r="K188" s="226">
        <f t="shared" si="5"/>
        <v>45000</v>
      </c>
      <c r="L188" s="226">
        <f>IFERROR(K188*IFERROR(INDEX(Servicios!$G:$G,MATCH($D188,Servicios!$A:$A,0)),0),0)</f>
        <v>13500</v>
      </c>
      <c r="M188" s="226">
        <f>IFERROR(K188-L188-IFERROR(INDEX(Servicios!$F:$F,MATCH($D188,Servicios!$A:$A,0)),0),0)</f>
        <v>30840</v>
      </c>
    </row>
    <row r="189" spans="1:13" ht="15" customHeight="1" x14ac:dyDescent="0.3">
      <c r="A189" s="165">
        <v>46216</v>
      </c>
      <c r="B189" s="231" t="str">
        <f t="shared" si="4"/>
        <v>lun</v>
      </c>
      <c r="C189" s="166" t="s">
        <v>101</v>
      </c>
      <c r="D189" s="166" t="s">
        <v>125</v>
      </c>
      <c r="E189" s="231" t="str">
        <f>IFERROR(INDEX(Servicios!$B:$B,MATCH($D189,Servicios!$A:$A,0)),"")</f>
        <v>Corte dama</v>
      </c>
      <c r="F189" s="166" t="s">
        <v>240</v>
      </c>
      <c r="G189" s="166" t="s">
        <v>43</v>
      </c>
      <c r="H189" s="230">
        <f>IFERROR(INDEX(Servicios!$D:$D,MATCH($D189,Servicios!$A:$A,0)),0)</f>
        <v>45</v>
      </c>
      <c r="I189" s="226">
        <f>IFERROR(INDEX(Servicios!$E:$E,MATCH($D189,Servicios!$A:$A,0)),0)</f>
        <v>45000</v>
      </c>
      <c r="J189" s="156"/>
      <c r="K189" s="226">
        <f t="shared" si="5"/>
        <v>45000</v>
      </c>
      <c r="L189" s="226">
        <f>IFERROR(K189*IFERROR(INDEX(Servicios!$G:$G,MATCH($D189,Servicios!$A:$A,0)),0),0)</f>
        <v>13500</v>
      </c>
      <c r="M189" s="226">
        <f>IFERROR(K189-L189-IFERROR(INDEX(Servicios!$F:$F,MATCH($D189,Servicios!$A:$A,0)),0),0)</f>
        <v>30840</v>
      </c>
    </row>
    <row r="190" spans="1:13" ht="15" customHeight="1" x14ac:dyDescent="0.3">
      <c r="A190" s="165">
        <v>46216</v>
      </c>
      <c r="B190" s="231" t="str">
        <f t="shared" si="4"/>
        <v>lun</v>
      </c>
      <c r="C190" s="166" t="s">
        <v>101</v>
      </c>
      <c r="D190" s="166" t="s">
        <v>144</v>
      </c>
      <c r="E190" s="231" t="str">
        <f>IFERROR(INDEX(Servicios!$B:$B,MATCH($D190,Servicios!$A:$A,0)),"")</f>
        <v>Cepillado y secado</v>
      </c>
      <c r="F190" s="166" t="s">
        <v>255</v>
      </c>
      <c r="G190" s="166" t="s">
        <v>43</v>
      </c>
      <c r="H190" s="230">
        <f>IFERROR(INDEX(Servicios!$D:$D,MATCH($D190,Servicios!$A:$A,0)),0)</f>
        <v>30</v>
      </c>
      <c r="I190" s="226">
        <f>IFERROR(INDEX(Servicios!$E:$E,MATCH($D190,Servicios!$A:$A,0)),0)</f>
        <v>38000</v>
      </c>
      <c r="J190" s="156"/>
      <c r="K190" s="226">
        <f t="shared" si="5"/>
        <v>38000</v>
      </c>
      <c r="L190" s="226">
        <f>IFERROR(K190*IFERROR(INDEX(Servicios!$G:$G,MATCH($D190,Servicios!$A:$A,0)),0),0)</f>
        <v>11400</v>
      </c>
      <c r="M190" s="226">
        <f>IFERROR(K190-L190-IFERROR(INDEX(Servicios!$F:$F,MATCH($D190,Servicios!$A:$A,0)),0),0)</f>
        <v>26600</v>
      </c>
    </row>
    <row r="191" spans="1:13" ht="15" customHeight="1" x14ac:dyDescent="0.3">
      <c r="A191" s="165">
        <v>46216</v>
      </c>
      <c r="B191" s="231" t="str">
        <f t="shared" si="4"/>
        <v>lun</v>
      </c>
      <c r="C191" s="166" t="s">
        <v>101</v>
      </c>
      <c r="D191" s="166" t="s">
        <v>125</v>
      </c>
      <c r="E191" s="231" t="str">
        <f>IFERROR(INDEX(Servicios!$B:$B,MATCH($D191,Servicios!$A:$A,0)),"")</f>
        <v>Corte dama</v>
      </c>
      <c r="F191" s="166" t="s">
        <v>264</v>
      </c>
      <c r="G191" s="166" t="s">
        <v>41</v>
      </c>
      <c r="H191" s="230">
        <f>IFERROR(INDEX(Servicios!$D:$D,MATCH($D191,Servicios!$A:$A,0)),0)</f>
        <v>45</v>
      </c>
      <c r="I191" s="226">
        <f>IFERROR(INDEX(Servicios!$E:$E,MATCH($D191,Servicios!$A:$A,0)),0)</f>
        <v>45000</v>
      </c>
      <c r="J191" s="156"/>
      <c r="K191" s="226">
        <f t="shared" si="5"/>
        <v>45000</v>
      </c>
      <c r="L191" s="226">
        <f>IFERROR(K191*IFERROR(INDEX(Servicios!$G:$G,MATCH($D191,Servicios!$A:$A,0)),0),0)</f>
        <v>13500</v>
      </c>
      <c r="M191" s="226">
        <f>IFERROR(K191-L191-IFERROR(INDEX(Servicios!$F:$F,MATCH($D191,Servicios!$A:$A,0)),0),0)</f>
        <v>30840</v>
      </c>
    </row>
    <row r="192" spans="1:13" ht="15" customHeight="1" x14ac:dyDescent="0.3">
      <c r="A192" s="165">
        <v>46216</v>
      </c>
      <c r="B192" s="231" t="str">
        <f t="shared" si="4"/>
        <v>lun</v>
      </c>
      <c r="C192" s="166" t="s">
        <v>101</v>
      </c>
      <c r="D192" s="166" t="s">
        <v>125</v>
      </c>
      <c r="E192" s="231" t="str">
        <f>IFERROR(INDEX(Servicios!$B:$B,MATCH($D192,Servicios!$A:$A,0)),"")</f>
        <v>Corte dama</v>
      </c>
      <c r="F192" s="166" t="s">
        <v>285</v>
      </c>
      <c r="G192" s="166" t="s">
        <v>43</v>
      </c>
      <c r="H192" s="230">
        <f>IFERROR(INDEX(Servicios!$D:$D,MATCH($D192,Servicios!$A:$A,0)),0)</f>
        <v>45</v>
      </c>
      <c r="I192" s="226">
        <f>IFERROR(INDEX(Servicios!$E:$E,MATCH($D192,Servicios!$A:$A,0)),0)</f>
        <v>45000</v>
      </c>
      <c r="J192" s="156"/>
      <c r="K192" s="226">
        <f t="shared" si="5"/>
        <v>45000</v>
      </c>
      <c r="L192" s="226">
        <f>IFERROR(K192*IFERROR(INDEX(Servicios!$G:$G,MATCH($D192,Servicios!$A:$A,0)),0),0)</f>
        <v>13500</v>
      </c>
      <c r="M192" s="226">
        <f>IFERROR(K192-L192-IFERROR(INDEX(Servicios!$F:$F,MATCH($D192,Servicios!$A:$A,0)),0),0)</f>
        <v>30840</v>
      </c>
    </row>
    <row r="193" spans="1:13" ht="15" customHeight="1" x14ac:dyDescent="0.3">
      <c r="A193" s="165">
        <v>46216</v>
      </c>
      <c r="B193" s="231" t="str">
        <f t="shared" si="4"/>
        <v>lun</v>
      </c>
      <c r="C193" s="166" t="s">
        <v>101</v>
      </c>
      <c r="D193" s="166" t="s">
        <v>125</v>
      </c>
      <c r="E193" s="231" t="str">
        <f>IFERROR(INDEX(Servicios!$B:$B,MATCH($D193,Servicios!$A:$A,0)),"")</f>
        <v>Corte dama</v>
      </c>
      <c r="F193" s="166" t="s">
        <v>279</v>
      </c>
      <c r="G193" s="166" t="s">
        <v>41</v>
      </c>
      <c r="H193" s="230">
        <f>IFERROR(INDEX(Servicios!$D:$D,MATCH($D193,Servicios!$A:$A,0)),0)</f>
        <v>45</v>
      </c>
      <c r="I193" s="226">
        <f>IFERROR(INDEX(Servicios!$E:$E,MATCH($D193,Servicios!$A:$A,0)),0)</f>
        <v>45000</v>
      </c>
      <c r="J193" s="156"/>
      <c r="K193" s="226">
        <f t="shared" si="5"/>
        <v>45000</v>
      </c>
      <c r="L193" s="226">
        <f>IFERROR(K193*IFERROR(INDEX(Servicios!$G:$G,MATCH($D193,Servicios!$A:$A,0)),0),0)</f>
        <v>13500</v>
      </c>
      <c r="M193" s="226">
        <f>IFERROR(K193-L193-IFERROR(INDEX(Servicios!$F:$F,MATCH($D193,Servicios!$A:$A,0)),0),0)</f>
        <v>30840</v>
      </c>
    </row>
    <row r="194" spans="1:13" ht="15" customHeight="1" x14ac:dyDescent="0.3">
      <c r="A194" s="165">
        <v>46216</v>
      </c>
      <c r="B194" s="231" t="str">
        <f t="shared" si="4"/>
        <v>lun</v>
      </c>
      <c r="C194" s="166" t="s">
        <v>101</v>
      </c>
      <c r="D194" s="166" t="s">
        <v>128</v>
      </c>
      <c r="E194" s="231" t="str">
        <f>IFERROR(INDEX(Servicios!$B:$B,MATCH($D194,Servicios!$A:$A,0)),"")</f>
        <v>Corte caballero</v>
      </c>
      <c r="F194" s="166" t="s">
        <v>261</v>
      </c>
      <c r="G194" s="166" t="s">
        <v>41</v>
      </c>
      <c r="H194" s="230">
        <f>IFERROR(INDEX(Servicios!$D:$D,MATCH($D194,Servicios!$A:$A,0)),0)</f>
        <v>30</v>
      </c>
      <c r="I194" s="226">
        <f>IFERROR(INDEX(Servicios!$E:$E,MATCH($D194,Servicios!$A:$A,0)),0)</f>
        <v>28000</v>
      </c>
      <c r="J194" s="156"/>
      <c r="K194" s="226">
        <f t="shared" si="5"/>
        <v>28000</v>
      </c>
      <c r="L194" s="226">
        <f>IFERROR(K194*IFERROR(INDEX(Servicios!$G:$G,MATCH($D194,Servicios!$A:$A,0)),0),0)</f>
        <v>8400</v>
      </c>
      <c r="M194" s="226">
        <f>IFERROR(K194-L194-IFERROR(INDEX(Servicios!$F:$F,MATCH($D194,Servicios!$A:$A,0)),0),0)</f>
        <v>19160</v>
      </c>
    </row>
    <row r="195" spans="1:13" ht="15" customHeight="1" x14ac:dyDescent="0.3">
      <c r="A195" s="165">
        <v>46216</v>
      </c>
      <c r="B195" s="231" t="str">
        <f t="shared" si="4"/>
        <v>lun</v>
      </c>
      <c r="C195" s="166" t="s">
        <v>101</v>
      </c>
      <c r="D195" s="166" t="s">
        <v>144</v>
      </c>
      <c r="E195" s="231" t="str">
        <f>IFERROR(INDEX(Servicios!$B:$B,MATCH($D195,Servicios!$A:$A,0)),"")</f>
        <v>Cepillado y secado</v>
      </c>
      <c r="F195" s="166" t="s">
        <v>260</v>
      </c>
      <c r="G195" s="166" t="s">
        <v>43</v>
      </c>
      <c r="H195" s="230">
        <f>IFERROR(INDEX(Servicios!$D:$D,MATCH($D195,Servicios!$A:$A,0)),0)</f>
        <v>30</v>
      </c>
      <c r="I195" s="226">
        <f>IFERROR(INDEX(Servicios!$E:$E,MATCH($D195,Servicios!$A:$A,0)),0)</f>
        <v>38000</v>
      </c>
      <c r="J195" s="156"/>
      <c r="K195" s="226">
        <f t="shared" si="5"/>
        <v>38000</v>
      </c>
      <c r="L195" s="226">
        <f>IFERROR(K195*IFERROR(INDEX(Servicios!$G:$G,MATCH($D195,Servicios!$A:$A,0)),0),0)</f>
        <v>11400</v>
      </c>
      <c r="M195" s="226">
        <f>IFERROR(K195-L195-IFERROR(INDEX(Servicios!$F:$F,MATCH($D195,Servicios!$A:$A,0)),0),0)</f>
        <v>26600</v>
      </c>
    </row>
    <row r="196" spans="1:13" ht="15" customHeight="1" x14ac:dyDescent="0.3">
      <c r="A196" s="165">
        <v>46216</v>
      </c>
      <c r="B196" s="231" t="str">
        <f t="shared" si="4"/>
        <v>lun</v>
      </c>
      <c r="C196" s="166" t="s">
        <v>104</v>
      </c>
      <c r="D196" s="166" t="s">
        <v>130</v>
      </c>
      <c r="E196" s="231" t="str">
        <f>IFERROR(INDEX(Servicios!$B:$B,MATCH($D196,Servicios!$A:$A,0)),"")</f>
        <v>Coloración raíz</v>
      </c>
      <c r="F196" s="166" t="s">
        <v>273</v>
      </c>
      <c r="G196" s="166" t="s">
        <v>41</v>
      </c>
      <c r="H196" s="230">
        <f>IFERROR(INDEX(Servicios!$D:$D,MATCH($D196,Servicios!$A:$A,0)),0)</f>
        <v>90</v>
      </c>
      <c r="I196" s="226">
        <f>IFERROR(INDEX(Servicios!$E:$E,MATCH($D196,Servicios!$A:$A,0)),0)</f>
        <v>120000</v>
      </c>
      <c r="J196" s="156"/>
      <c r="K196" s="226">
        <f t="shared" si="5"/>
        <v>120000</v>
      </c>
      <c r="L196" s="226">
        <f>IFERROR(K196*IFERROR(INDEX(Servicios!$G:$G,MATCH($D196,Servicios!$A:$A,0)),0),0)</f>
        <v>42000</v>
      </c>
      <c r="M196" s="226">
        <f>IFERROR(K196-L196-IFERROR(INDEX(Servicios!$F:$F,MATCH($D196,Servicios!$A:$A,0)),0),0)</f>
        <v>72645</v>
      </c>
    </row>
    <row r="197" spans="1:13" ht="15" customHeight="1" x14ac:dyDescent="0.3">
      <c r="A197" s="165">
        <v>46216</v>
      </c>
      <c r="B197" s="231" t="str">
        <f t="shared" ref="B197:B260" si="6">IF($A197="","",CHOOSE(WEEKDAY($A197,2),"lun","mar","mié","jue","vie","sáb","dom"))</f>
        <v>lun</v>
      </c>
      <c r="C197" s="166" t="s">
        <v>104</v>
      </c>
      <c r="D197" s="166" t="s">
        <v>133</v>
      </c>
      <c r="E197" s="231" t="str">
        <f>IFERROR(INDEX(Servicios!$B:$B,MATCH($D197,Servicios!$A:$A,0)),"")</f>
        <v>Mechas / balayage</v>
      </c>
      <c r="F197" s="166" t="s">
        <v>226</v>
      </c>
      <c r="G197" s="166" t="s">
        <v>41</v>
      </c>
      <c r="H197" s="230">
        <f>IFERROR(INDEX(Servicios!$D:$D,MATCH($D197,Servicios!$A:$A,0)),0)</f>
        <v>180</v>
      </c>
      <c r="I197" s="226">
        <f>IFERROR(INDEX(Servicios!$E:$E,MATCH($D197,Servicios!$A:$A,0)),0)</f>
        <v>320000</v>
      </c>
      <c r="J197" s="156"/>
      <c r="K197" s="226">
        <f t="shared" ref="K197:K260" si="7">IFERROR(I197*(1-N(J197)),0)</f>
        <v>320000</v>
      </c>
      <c r="L197" s="226">
        <f>IFERROR(K197*IFERROR(INDEX(Servicios!$G:$G,MATCH($D197,Servicios!$A:$A,0)),0),0)</f>
        <v>112000</v>
      </c>
      <c r="M197" s="226">
        <f>IFERROR(K197-L197-IFERROR(INDEX(Servicios!$F:$F,MATCH($D197,Servicios!$A:$A,0)),0),0)</f>
        <v>196240</v>
      </c>
    </row>
    <row r="198" spans="1:13" ht="15" customHeight="1" x14ac:dyDescent="0.3">
      <c r="A198" s="165">
        <v>46216</v>
      </c>
      <c r="B198" s="231" t="str">
        <f t="shared" si="6"/>
        <v>lun</v>
      </c>
      <c r="C198" s="166" t="s">
        <v>107</v>
      </c>
      <c r="D198" s="166" t="s">
        <v>138</v>
      </c>
      <c r="E198" s="231" t="str">
        <f>IFERROR(INDEX(Servicios!$B:$B,MATCH($D198,Servicios!$A:$A,0)),"")</f>
        <v>Manicure</v>
      </c>
      <c r="F198" s="166" t="s">
        <v>261</v>
      </c>
      <c r="G198" s="166" t="s">
        <v>41</v>
      </c>
      <c r="H198" s="230">
        <f>IFERROR(INDEX(Servicios!$D:$D,MATCH($D198,Servicios!$A:$A,0)),0)</f>
        <v>45</v>
      </c>
      <c r="I198" s="226">
        <f>IFERROR(INDEX(Servicios!$E:$E,MATCH($D198,Servicios!$A:$A,0)),0)</f>
        <v>35000</v>
      </c>
      <c r="J198" s="156"/>
      <c r="K198" s="226">
        <f t="shared" si="7"/>
        <v>35000</v>
      </c>
      <c r="L198" s="226">
        <f>IFERROR(K198*IFERROR(INDEX(Servicios!$G:$G,MATCH($D198,Servicios!$A:$A,0)),0),0)</f>
        <v>8750</v>
      </c>
      <c r="M198" s="226">
        <f>IFERROR(K198-L198-IFERROR(INDEX(Servicios!$F:$F,MATCH($D198,Servicios!$A:$A,0)),0),0)</f>
        <v>25740</v>
      </c>
    </row>
    <row r="199" spans="1:13" ht="15" customHeight="1" x14ac:dyDescent="0.3">
      <c r="A199" s="165">
        <v>46216</v>
      </c>
      <c r="B199" s="231" t="str">
        <f t="shared" si="6"/>
        <v>lun</v>
      </c>
      <c r="C199" s="166" t="s">
        <v>107</v>
      </c>
      <c r="D199" s="166" t="s">
        <v>138</v>
      </c>
      <c r="E199" s="231" t="str">
        <f>IFERROR(INDEX(Servicios!$B:$B,MATCH($D199,Servicios!$A:$A,0)),"")</f>
        <v>Manicure</v>
      </c>
      <c r="F199" s="166" t="s">
        <v>286</v>
      </c>
      <c r="G199" s="166" t="s">
        <v>43</v>
      </c>
      <c r="H199" s="230">
        <f>IFERROR(INDEX(Servicios!$D:$D,MATCH($D199,Servicios!$A:$A,0)),0)</f>
        <v>45</v>
      </c>
      <c r="I199" s="226">
        <f>IFERROR(INDEX(Servicios!$E:$E,MATCH($D199,Servicios!$A:$A,0)),0)</f>
        <v>35000</v>
      </c>
      <c r="J199" s="156"/>
      <c r="K199" s="226">
        <f t="shared" si="7"/>
        <v>35000</v>
      </c>
      <c r="L199" s="226">
        <f>IFERROR(K199*IFERROR(INDEX(Servicios!$G:$G,MATCH($D199,Servicios!$A:$A,0)),0),0)</f>
        <v>8750</v>
      </c>
      <c r="M199" s="226">
        <f>IFERROR(K199-L199-IFERROR(INDEX(Servicios!$F:$F,MATCH($D199,Servicios!$A:$A,0)),0),0)</f>
        <v>25740</v>
      </c>
    </row>
    <row r="200" spans="1:13" ht="15" customHeight="1" x14ac:dyDescent="0.3">
      <c r="A200" s="165">
        <v>46216</v>
      </c>
      <c r="B200" s="231" t="str">
        <f t="shared" si="6"/>
        <v>lun</v>
      </c>
      <c r="C200" s="166" t="s">
        <v>107</v>
      </c>
      <c r="D200" s="166" t="s">
        <v>138</v>
      </c>
      <c r="E200" s="231" t="str">
        <f>IFERROR(INDEX(Servicios!$B:$B,MATCH($D200,Servicios!$A:$A,0)),"")</f>
        <v>Manicure</v>
      </c>
      <c r="F200" s="166" t="s">
        <v>270</v>
      </c>
      <c r="G200" s="166" t="s">
        <v>41</v>
      </c>
      <c r="H200" s="230">
        <f>IFERROR(INDEX(Servicios!$D:$D,MATCH($D200,Servicios!$A:$A,0)),0)</f>
        <v>45</v>
      </c>
      <c r="I200" s="226">
        <f>IFERROR(INDEX(Servicios!$E:$E,MATCH($D200,Servicios!$A:$A,0)),0)</f>
        <v>35000</v>
      </c>
      <c r="J200" s="156"/>
      <c r="K200" s="226">
        <f t="shared" si="7"/>
        <v>35000</v>
      </c>
      <c r="L200" s="226">
        <f>IFERROR(K200*IFERROR(INDEX(Servicios!$G:$G,MATCH($D200,Servicios!$A:$A,0)),0),0)</f>
        <v>8750</v>
      </c>
      <c r="M200" s="226">
        <f>IFERROR(K200-L200-IFERROR(INDEX(Servicios!$F:$F,MATCH($D200,Servicios!$A:$A,0)),0),0)</f>
        <v>25740</v>
      </c>
    </row>
    <row r="201" spans="1:13" ht="15" customHeight="1" x14ac:dyDescent="0.3">
      <c r="A201" s="165">
        <v>46216</v>
      </c>
      <c r="B201" s="231" t="str">
        <f t="shared" si="6"/>
        <v>lun</v>
      </c>
      <c r="C201" s="166" t="s">
        <v>107</v>
      </c>
      <c r="D201" s="166" t="s">
        <v>138</v>
      </c>
      <c r="E201" s="231" t="str">
        <f>IFERROR(INDEX(Servicios!$B:$B,MATCH($D201,Servicios!$A:$A,0)),"")</f>
        <v>Manicure</v>
      </c>
      <c r="F201" s="166" t="s">
        <v>269</v>
      </c>
      <c r="G201" s="166" t="s">
        <v>41</v>
      </c>
      <c r="H201" s="230">
        <f>IFERROR(INDEX(Servicios!$D:$D,MATCH($D201,Servicios!$A:$A,0)),0)</f>
        <v>45</v>
      </c>
      <c r="I201" s="226">
        <f>IFERROR(INDEX(Servicios!$E:$E,MATCH($D201,Servicios!$A:$A,0)),0)</f>
        <v>35000</v>
      </c>
      <c r="J201" s="156"/>
      <c r="K201" s="226">
        <f t="shared" si="7"/>
        <v>35000</v>
      </c>
      <c r="L201" s="226">
        <f>IFERROR(K201*IFERROR(INDEX(Servicios!$G:$G,MATCH($D201,Servicios!$A:$A,0)),0),0)</f>
        <v>8750</v>
      </c>
      <c r="M201" s="226">
        <f>IFERROR(K201-L201-IFERROR(INDEX(Servicios!$F:$F,MATCH($D201,Servicios!$A:$A,0)),0),0)</f>
        <v>25740</v>
      </c>
    </row>
    <row r="202" spans="1:13" ht="15" customHeight="1" x14ac:dyDescent="0.3">
      <c r="A202" s="165">
        <v>46216</v>
      </c>
      <c r="B202" s="231" t="str">
        <f t="shared" si="6"/>
        <v>lun</v>
      </c>
      <c r="C202" s="166" t="s">
        <v>107</v>
      </c>
      <c r="D202" s="166" t="s">
        <v>138</v>
      </c>
      <c r="E202" s="231" t="str">
        <f>IFERROR(INDEX(Servicios!$B:$B,MATCH($D202,Servicios!$A:$A,0)),"")</f>
        <v>Manicure</v>
      </c>
      <c r="F202" s="166" t="s">
        <v>287</v>
      </c>
      <c r="G202" s="166" t="s">
        <v>41</v>
      </c>
      <c r="H202" s="230">
        <f>IFERROR(INDEX(Servicios!$D:$D,MATCH($D202,Servicios!$A:$A,0)),0)</f>
        <v>45</v>
      </c>
      <c r="I202" s="226">
        <f>IFERROR(INDEX(Servicios!$E:$E,MATCH($D202,Servicios!$A:$A,0)),0)</f>
        <v>35000</v>
      </c>
      <c r="J202" s="156"/>
      <c r="K202" s="226">
        <f t="shared" si="7"/>
        <v>35000</v>
      </c>
      <c r="L202" s="226">
        <f>IFERROR(K202*IFERROR(INDEX(Servicios!$G:$G,MATCH($D202,Servicios!$A:$A,0)),0),0)</f>
        <v>8750</v>
      </c>
      <c r="M202" s="226">
        <f>IFERROR(K202-L202-IFERROR(INDEX(Servicios!$F:$F,MATCH($D202,Servicios!$A:$A,0)),0),0)</f>
        <v>25740</v>
      </c>
    </row>
    <row r="203" spans="1:13" ht="15" customHeight="1" x14ac:dyDescent="0.3">
      <c r="A203" s="165">
        <v>46216</v>
      </c>
      <c r="B203" s="231" t="str">
        <f t="shared" si="6"/>
        <v>lun</v>
      </c>
      <c r="C203" s="166" t="s">
        <v>107</v>
      </c>
      <c r="D203" s="166" t="s">
        <v>138</v>
      </c>
      <c r="E203" s="231" t="str">
        <f>IFERROR(INDEX(Servicios!$B:$B,MATCH($D203,Servicios!$A:$A,0)),"")</f>
        <v>Manicure</v>
      </c>
      <c r="F203" s="166" t="s">
        <v>255</v>
      </c>
      <c r="G203" s="166" t="s">
        <v>43</v>
      </c>
      <c r="H203" s="230">
        <f>IFERROR(INDEX(Servicios!$D:$D,MATCH($D203,Servicios!$A:$A,0)),0)</f>
        <v>45</v>
      </c>
      <c r="I203" s="226">
        <f>IFERROR(INDEX(Servicios!$E:$E,MATCH($D203,Servicios!$A:$A,0)),0)</f>
        <v>35000</v>
      </c>
      <c r="J203" s="156"/>
      <c r="K203" s="226">
        <f t="shared" si="7"/>
        <v>35000</v>
      </c>
      <c r="L203" s="226">
        <f>IFERROR(K203*IFERROR(INDEX(Servicios!$G:$G,MATCH($D203,Servicios!$A:$A,0)),0),0)</f>
        <v>8750</v>
      </c>
      <c r="M203" s="226">
        <f>IFERROR(K203-L203-IFERROR(INDEX(Servicios!$F:$F,MATCH($D203,Servicios!$A:$A,0)),0),0)</f>
        <v>25740</v>
      </c>
    </row>
    <row r="204" spans="1:13" ht="15" customHeight="1" x14ac:dyDescent="0.3">
      <c r="A204" s="165">
        <v>46217</v>
      </c>
      <c r="B204" s="231" t="str">
        <f t="shared" si="6"/>
        <v>mar</v>
      </c>
      <c r="C204" s="166" t="s">
        <v>98</v>
      </c>
      <c r="D204" s="166" t="s">
        <v>128</v>
      </c>
      <c r="E204" s="231" t="str">
        <f>IFERROR(INDEX(Servicios!$B:$B,MATCH($D204,Servicios!$A:$A,0)),"")</f>
        <v>Corte caballero</v>
      </c>
      <c r="F204" s="166" t="s">
        <v>247</v>
      </c>
      <c r="G204" s="166" t="s">
        <v>45</v>
      </c>
      <c r="H204" s="230">
        <f>IFERROR(INDEX(Servicios!$D:$D,MATCH($D204,Servicios!$A:$A,0)),0)</f>
        <v>30</v>
      </c>
      <c r="I204" s="226">
        <f>IFERROR(INDEX(Servicios!$E:$E,MATCH($D204,Servicios!$A:$A,0)),0)</f>
        <v>28000</v>
      </c>
      <c r="J204" s="156"/>
      <c r="K204" s="226">
        <f t="shared" si="7"/>
        <v>28000</v>
      </c>
      <c r="L204" s="226">
        <f>IFERROR(K204*IFERROR(INDEX(Servicios!$G:$G,MATCH($D204,Servicios!$A:$A,0)),0),0)</f>
        <v>8400</v>
      </c>
      <c r="M204" s="226">
        <f>IFERROR(K204-L204-IFERROR(INDEX(Servicios!$F:$F,MATCH($D204,Servicios!$A:$A,0)),0),0)</f>
        <v>19160</v>
      </c>
    </row>
    <row r="205" spans="1:13" ht="15" customHeight="1" x14ac:dyDescent="0.3">
      <c r="A205" s="165">
        <v>46217</v>
      </c>
      <c r="B205" s="231" t="str">
        <f t="shared" si="6"/>
        <v>mar</v>
      </c>
      <c r="C205" s="166" t="s">
        <v>98</v>
      </c>
      <c r="D205" s="166" t="s">
        <v>125</v>
      </c>
      <c r="E205" s="231" t="str">
        <f>IFERROR(INDEX(Servicios!$B:$B,MATCH($D205,Servicios!$A:$A,0)),"")</f>
        <v>Corte dama</v>
      </c>
      <c r="F205" s="166" t="s">
        <v>264</v>
      </c>
      <c r="G205" s="166" t="s">
        <v>41</v>
      </c>
      <c r="H205" s="230">
        <f>IFERROR(INDEX(Servicios!$D:$D,MATCH($D205,Servicios!$A:$A,0)),0)</f>
        <v>45</v>
      </c>
      <c r="I205" s="226">
        <f>IFERROR(INDEX(Servicios!$E:$E,MATCH($D205,Servicios!$A:$A,0)),0)</f>
        <v>45000</v>
      </c>
      <c r="J205" s="156"/>
      <c r="K205" s="226">
        <f t="shared" si="7"/>
        <v>45000</v>
      </c>
      <c r="L205" s="226">
        <f>IFERROR(K205*IFERROR(INDEX(Servicios!$G:$G,MATCH($D205,Servicios!$A:$A,0)),0),0)</f>
        <v>13500</v>
      </c>
      <c r="M205" s="226">
        <f>IFERROR(K205-L205-IFERROR(INDEX(Servicios!$F:$F,MATCH($D205,Servicios!$A:$A,0)),0),0)</f>
        <v>30840</v>
      </c>
    </row>
    <row r="206" spans="1:13" ht="15" customHeight="1" x14ac:dyDescent="0.3">
      <c r="A206" s="165">
        <v>46217</v>
      </c>
      <c r="B206" s="231" t="str">
        <f t="shared" si="6"/>
        <v>mar</v>
      </c>
      <c r="C206" s="166" t="s">
        <v>98</v>
      </c>
      <c r="D206" s="166" t="s">
        <v>144</v>
      </c>
      <c r="E206" s="231" t="str">
        <f>IFERROR(INDEX(Servicios!$B:$B,MATCH($D206,Servicios!$A:$A,0)),"")</f>
        <v>Cepillado y secado</v>
      </c>
      <c r="F206" s="166" t="s">
        <v>269</v>
      </c>
      <c r="G206" s="166" t="s">
        <v>43</v>
      </c>
      <c r="H206" s="230">
        <f>IFERROR(INDEX(Servicios!$D:$D,MATCH($D206,Servicios!$A:$A,0)),0)</f>
        <v>30</v>
      </c>
      <c r="I206" s="226">
        <f>IFERROR(INDEX(Servicios!$E:$E,MATCH($D206,Servicios!$A:$A,0)),0)</f>
        <v>38000</v>
      </c>
      <c r="J206" s="156"/>
      <c r="K206" s="226">
        <f t="shared" si="7"/>
        <v>38000</v>
      </c>
      <c r="L206" s="226">
        <f>IFERROR(K206*IFERROR(INDEX(Servicios!$G:$G,MATCH($D206,Servicios!$A:$A,0)),0),0)</f>
        <v>11400</v>
      </c>
      <c r="M206" s="226">
        <f>IFERROR(K206-L206-IFERROR(INDEX(Servicios!$F:$F,MATCH($D206,Servicios!$A:$A,0)),0),0)</f>
        <v>26600</v>
      </c>
    </row>
    <row r="207" spans="1:13" ht="15" customHeight="1" x14ac:dyDescent="0.3">
      <c r="A207" s="165">
        <v>46217</v>
      </c>
      <c r="B207" s="231" t="str">
        <f t="shared" si="6"/>
        <v>mar</v>
      </c>
      <c r="C207" s="166" t="s">
        <v>98</v>
      </c>
      <c r="D207" s="166" t="s">
        <v>128</v>
      </c>
      <c r="E207" s="231" t="str">
        <f>IFERROR(INDEX(Servicios!$B:$B,MATCH($D207,Servicios!$A:$A,0)),"")</f>
        <v>Corte caballero</v>
      </c>
      <c r="F207" s="166" t="s">
        <v>263</v>
      </c>
      <c r="G207" s="166" t="s">
        <v>41</v>
      </c>
      <c r="H207" s="230">
        <f>IFERROR(INDEX(Servicios!$D:$D,MATCH($D207,Servicios!$A:$A,0)),0)</f>
        <v>30</v>
      </c>
      <c r="I207" s="226">
        <f>IFERROR(INDEX(Servicios!$E:$E,MATCH($D207,Servicios!$A:$A,0)),0)</f>
        <v>28000</v>
      </c>
      <c r="J207" s="156"/>
      <c r="K207" s="226">
        <f t="shared" si="7"/>
        <v>28000</v>
      </c>
      <c r="L207" s="226">
        <f>IFERROR(K207*IFERROR(INDEX(Servicios!$G:$G,MATCH($D207,Servicios!$A:$A,0)),0),0)</f>
        <v>8400</v>
      </c>
      <c r="M207" s="226">
        <f>IFERROR(K207-L207-IFERROR(INDEX(Servicios!$F:$F,MATCH($D207,Servicios!$A:$A,0)),0),0)</f>
        <v>19160</v>
      </c>
    </row>
    <row r="208" spans="1:13" ht="15" customHeight="1" x14ac:dyDescent="0.3">
      <c r="A208" s="165">
        <v>46217</v>
      </c>
      <c r="B208" s="231" t="str">
        <f t="shared" si="6"/>
        <v>mar</v>
      </c>
      <c r="C208" s="166" t="s">
        <v>98</v>
      </c>
      <c r="D208" s="166" t="s">
        <v>141</v>
      </c>
      <c r="E208" s="231" t="str">
        <f>IFERROR(INDEX(Servicios!$B:$B,MATCH($D208,Servicios!$A:$A,0)),"")</f>
        <v>Peinado / brushing</v>
      </c>
      <c r="F208" s="166" t="s">
        <v>248</v>
      </c>
      <c r="G208" s="166" t="s">
        <v>43</v>
      </c>
      <c r="H208" s="230">
        <f>IFERROR(INDEX(Servicios!$D:$D,MATCH($D208,Servicios!$A:$A,0)),0)</f>
        <v>40</v>
      </c>
      <c r="I208" s="226">
        <f>IFERROR(INDEX(Servicios!$E:$E,MATCH($D208,Servicios!$A:$A,0)),0)</f>
        <v>55000</v>
      </c>
      <c r="J208" s="156"/>
      <c r="K208" s="226">
        <f t="shared" si="7"/>
        <v>55000</v>
      </c>
      <c r="L208" s="226">
        <f>IFERROR(K208*IFERROR(INDEX(Servicios!$G:$G,MATCH($D208,Servicios!$A:$A,0)),0),0)</f>
        <v>16500</v>
      </c>
      <c r="M208" s="226">
        <f>IFERROR(K208-L208-IFERROR(INDEX(Servicios!$F:$F,MATCH($D208,Servicios!$A:$A,0)),0),0)</f>
        <v>38500</v>
      </c>
    </row>
    <row r="209" spans="1:13" ht="15" customHeight="1" x14ac:dyDescent="0.3">
      <c r="A209" s="165">
        <v>46217</v>
      </c>
      <c r="B209" s="231" t="str">
        <f t="shared" si="6"/>
        <v>mar</v>
      </c>
      <c r="C209" s="166" t="s">
        <v>98</v>
      </c>
      <c r="D209" s="166" t="s">
        <v>144</v>
      </c>
      <c r="E209" s="231" t="str">
        <f>IFERROR(INDEX(Servicios!$B:$B,MATCH($D209,Servicios!$A:$A,0)),"")</f>
        <v>Cepillado y secado</v>
      </c>
      <c r="F209" s="166" t="s">
        <v>266</v>
      </c>
      <c r="G209" s="166" t="s">
        <v>41</v>
      </c>
      <c r="H209" s="230">
        <f>IFERROR(INDEX(Servicios!$D:$D,MATCH($D209,Servicios!$A:$A,0)),0)</f>
        <v>30</v>
      </c>
      <c r="I209" s="226">
        <f>IFERROR(INDEX(Servicios!$E:$E,MATCH($D209,Servicios!$A:$A,0)),0)</f>
        <v>38000</v>
      </c>
      <c r="J209" s="156"/>
      <c r="K209" s="226">
        <f t="shared" si="7"/>
        <v>38000</v>
      </c>
      <c r="L209" s="226">
        <f>IFERROR(K209*IFERROR(INDEX(Servicios!$G:$G,MATCH($D209,Servicios!$A:$A,0)),0),0)</f>
        <v>11400</v>
      </c>
      <c r="M209" s="226">
        <f>IFERROR(K209-L209-IFERROR(INDEX(Servicios!$F:$F,MATCH($D209,Servicios!$A:$A,0)),0),0)</f>
        <v>26600</v>
      </c>
    </row>
    <row r="210" spans="1:13" ht="15" customHeight="1" x14ac:dyDescent="0.3">
      <c r="A210" s="165">
        <v>46217</v>
      </c>
      <c r="B210" s="231" t="str">
        <f t="shared" si="6"/>
        <v>mar</v>
      </c>
      <c r="C210" s="166" t="s">
        <v>98</v>
      </c>
      <c r="D210" s="166" t="s">
        <v>128</v>
      </c>
      <c r="E210" s="231" t="str">
        <f>IFERROR(INDEX(Servicios!$B:$B,MATCH($D210,Servicios!$A:$A,0)),"")</f>
        <v>Corte caballero</v>
      </c>
      <c r="F210" s="166" t="s">
        <v>288</v>
      </c>
      <c r="G210" s="166" t="s">
        <v>43</v>
      </c>
      <c r="H210" s="230">
        <f>IFERROR(INDEX(Servicios!$D:$D,MATCH($D210,Servicios!$A:$A,0)),0)</f>
        <v>30</v>
      </c>
      <c r="I210" s="226">
        <f>IFERROR(INDEX(Servicios!$E:$E,MATCH($D210,Servicios!$A:$A,0)),0)</f>
        <v>28000</v>
      </c>
      <c r="J210" s="156"/>
      <c r="K210" s="226">
        <f t="shared" si="7"/>
        <v>28000</v>
      </c>
      <c r="L210" s="226">
        <f>IFERROR(K210*IFERROR(INDEX(Servicios!$G:$G,MATCH($D210,Servicios!$A:$A,0)),0),0)</f>
        <v>8400</v>
      </c>
      <c r="M210" s="226">
        <f>IFERROR(K210-L210-IFERROR(INDEX(Servicios!$F:$F,MATCH($D210,Servicios!$A:$A,0)),0),0)</f>
        <v>19160</v>
      </c>
    </row>
    <row r="211" spans="1:13" ht="15" customHeight="1" x14ac:dyDescent="0.3">
      <c r="A211" s="165">
        <v>46217</v>
      </c>
      <c r="B211" s="231" t="str">
        <f t="shared" si="6"/>
        <v>mar</v>
      </c>
      <c r="C211" s="166" t="s">
        <v>98</v>
      </c>
      <c r="D211" s="166" t="s">
        <v>125</v>
      </c>
      <c r="E211" s="231" t="str">
        <f>IFERROR(INDEX(Servicios!$B:$B,MATCH($D211,Servicios!$A:$A,0)),"")</f>
        <v>Corte dama</v>
      </c>
      <c r="F211" s="166" t="s">
        <v>286</v>
      </c>
      <c r="G211" s="166" t="s">
        <v>41</v>
      </c>
      <c r="H211" s="230">
        <f>IFERROR(INDEX(Servicios!$D:$D,MATCH($D211,Servicios!$A:$A,0)),0)</f>
        <v>45</v>
      </c>
      <c r="I211" s="226">
        <f>IFERROR(INDEX(Servicios!$E:$E,MATCH($D211,Servicios!$A:$A,0)),0)</f>
        <v>45000</v>
      </c>
      <c r="J211" s="156"/>
      <c r="K211" s="226">
        <f t="shared" si="7"/>
        <v>45000</v>
      </c>
      <c r="L211" s="226">
        <f>IFERROR(K211*IFERROR(INDEX(Servicios!$G:$G,MATCH($D211,Servicios!$A:$A,0)),0),0)</f>
        <v>13500</v>
      </c>
      <c r="M211" s="226">
        <f>IFERROR(K211-L211-IFERROR(INDEX(Servicios!$F:$F,MATCH($D211,Servicios!$A:$A,0)),0),0)</f>
        <v>30840</v>
      </c>
    </row>
    <row r="212" spans="1:13" ht="15" customHeight="1" x14ac:dyDescent="0.3">
      <c r="A212" s="165">
        <v>46217</v>
      </c>
      <c r="B212" s="231" t="str">
        <f t="shared" si="6"/>
        <v>mar</v>
      </c>
      <c r="C212" s="166" t="s">
        <v>98</v>
      </c>
      <c r="D212" s="166" t="s">
        <v>128</v>
      </c>
      <c r="E212" s="231" t="str">
        <f>IFERROR(INDEX(Servicios!$B:$B,MATCH($D212,Servicios!$A:$A,0)),"")</f>
        <v>Corte caballero</v>
      </c>
      <c r="F212" s="166" t="s">
        <v>253</v>
      </c>
      <c r="G212" s="166" t="s">
        <v>43</v>
      </c>
      <c r="H212" s="230">
        <f>IFERROR(INDEX(Servicios!$D:$D,MATCH($D212,Servicios!$A:$A,0)),0)</f>
        <v>30</v>
      </c>
      <c r="I212" s="226">
        <f>IFERROR(INDEX(Servicios!$E:$E,MATCH($D212,Servicios!$A:$A,0)),0)</f>
        <v>28000</v>
      </c>
      <c r="J212" s="156"/>
      <c r="K212" s="226">
        <f t="shared" si="7"/>
        <v>28000</v>
      </c>
      <c r="L212" s="226">
        <f>IFERROR(K212*IFERROR(INDEX(Servicios!$G:$G,MATCH($D212,Servicios!$A:$A,0)),0),0)</f>
        <v>8400</v>
      </c>
      <c r="M212" s="226">
        <f>IFERROR(K212-L212-IFERROR(INDEX(Servicios!$F:$F,MATCH($D212,Servicios!$A:$A,0)),0),0)</f>
        <v>19160</v>
      </c>
    </row>
    <row r="213" spans="1:13" ht="15" customHeight="1" x14ac:dyDescent="0.3">
      <c r="A213" s="165">
        <v>46217</v>
      </c>
      <c r="B213" s="231" t="str">
        <f t="shared" si="6"/>
        <v>mar</v>
      </c>
      <c r="C213" s="166" t="s">
        <v>98</v>
      </c>
      <c r="D213" s="166" t="s">
        <v>128</v>
      </c>
      <c r="E213" s="231" t="str">
        <f>IFERROR(INDEX(Servicios!$B:$B,MATCH($D213,Servicios!$A:$A,0)),"")</f>
        <v>Corte caballero</v>
      </c>
      <c r="F213" s="166" t="s">
        <v>280</v>
      </c>
      <c r="G213" s="166" t="s">
        <v>41</v>
      </c>
      <c r="H213" s="230">
        <f>IFERROR(INDEX(Servicios!$D:$D,MATCH($D213,Servicios!$A:$A,0)),0)</f>
        <v>30</v>
      </c>
      <c r="I213" s="226">
        <f>IFERROR(INDEX(Servicios!$E:$E,MATCH($D213,Servicios!$A:$A,0)),0)</f>
        <v>28000</v>
      </c>
      <c r="J213" s="156"/>
      <c r="K213" s="226">
        <f t="shared" si="7"/>
        <v>28000</v>
      </c>
      <c r="L213" s="226">
        <f>IFERROR(K213*IFERROR(INDEX(Servicios!$G:$G,MATCH($D213,Servicios!$A:$A,0)),0),0)</f>
        <v>8400</v>
      </c>
      <c r="M213" s="226">
        <f>IFERROR(K213-L213-IFERROR(INDEX(Servicios!$F:$F,MATCH($D213,Servicios!$A:$A,0)),0),0)</f>
        <v>19160</v>
      </c>
    </row>
    <row r="214" spans="1:13" ht="15" customHeight="1" x14ac:dyDescent="0.3">
      <c r="A214" s="165">
        <v>46217</v>
      </c>
      <c r="B214" s="231" t="str">
        <f t="shared" si="6"/>
        <v>mar</v>
      </c>
      <c r="C214" s="166" t="s">
        <v>98</v>
      </c>
      <c r="D214" s="166" t="s">
        <v>144</v>
      </c>
      <c r="E214" s="231" t="str">
        <f>IFERROR(INDEX(Servicios!$B:$B,MATCH($D214,Servicios!$A:$A,0)),"")</f>
        <v>Cepillado y secado</v>
      </c>
      <c r="F214" s="166" t="s">
        <v>274</v>
      </c>
      <c r="G214" s="166" t="s">
        <v>41</v>
      </c>
      <c r="H214" s="230">
        <f>IFERROR(INDEX(Servicios!$D:$D,MATCH($D214,Servicios!$A:$A,0)),0)</f>
        <v>30</v>
      </c>
      <c r="I214" s="226">
        <f>IFERROR(INDEX(Servicios!$E:$E,MATCH($D214,Servicios!$A:$A,0)),0)</f>
        <v>38000</v>
      </c>
      <c r="J214" s="156"/>
      <c r="K214" s="226">
        <f t="shared" si="7"/>
        <v>38000</v>
      </c>
      <c r="L214" s="226">
        <f>IFERROR(K214*IFERROR(INDEX(Servicios!$G:$G,MATCH($D214,Servicios!$A:$A,0)),0),0)</f>
        <v>11400</v>
      </c>
      <c r="M214" s="226">
        <f>IFERROR(K214-L214-IFERROR(INDEX(Servicios!$F:$F,MATCH($D214,Servicios!$A:$A,0)),0),0)</f>
        <v>26600</v>
      </c>
    </row>
    <row r="215" spans="1:13" ht="15" customHeight="1" x14ac:dyDescent="0.3">
      <c r="A215" s="165">
        <v>46217</v>
      </c>
      <c r="B215" s="231" t="str">
        <f t="shared" si="6"/>
        <v>mar</v>
      </c>
      <c r="C215" s="166" t="s">
        <v>101</v>
      </c>
      <c r="D215" s="166" t="s">
        <v>125</v>
      </c>
      <c r="E215" s="231" t="str">
        <f>IFERROR(INDEX(Servicios!$B:$B,MATCH($D215,Servicios!$A:$A,0)),"")</f>
        <v>Corte dama</v>
      </c>
      <c r="F215" s="166" t="s">
        <v>289</v>
      </c>
      <c r="G215" s="166" t="s">
        <v>41</v>
      </c>
      <c r="H215" s="230">
        <f>IFERROR(INDEX(Servicios!$D:$D,MATCH($D215,Servicios!$A:$A,0)),0)</f>
        <v>45</v>
      </c>
      <c r="I215" s="226">
        <f>IFERROR(INDEX(Servicios!$E:$E,MATCH($D215,Servicios!$A:$A,0)),0)</f>
        <v>45000</v>
      </c>
      <c r="J215" s="156"/>
      <c r="K215" s="226">
        <f t="shared" si="7"/>
        <v>45000</v>
      </c>
      <c r="L215" s="226">
        <f>IFERROR(K215*IFERROR(INDEX(Servicios!$G:$G,MATCH($D215,Servicios!$A:$A,0)),0),0)</f>
        <v>13500</v>
      </c>
      <c r="M215" s="226">
        <f>IFERROR(K215-L215-IFERROR(INDEX(Servicios!$F:$F,MATCH($D215,Servicios!$A:$A,0)),0),0)</f>
        <v>30840</v>
      </c>
    </row>
    <row r="216" spans="1:13" ht="15" customHeight="1" x14ac:dyDescent="0.3">
      <c r="A216" s="165">
        <v>46217</v>
      </c>
      <c r="B216" s="231" t="str">
        <f t="shared" si="6"/>
        <v>mar</v>
      </c>
      <c r="C216" s="166" t="s">
        <v>101</v>
      </c>
      <c r="D216" s="166" t="s">
        <v>144</v>
      </c>
      <c r="E216" s="231" t="str">
        <f>IFERROR(INDEX(Servicios!$B:$B,MATCH($D216,Servicios!$A:$A,0)),"")</f>
        <v>Cepillado y secado</v>
      </c>
      <c r="F216" s="166" t="s">
        <v>252</v>
      </c>
      <c r="G216" s="166" t="s">
        <v>41</v>
      </c>
      <c r="H216" s="230">
        <f>IFERROR(INDEX(Servicios!$D:$D,MATCH($D216,Servicios!$A:$A,0)),0)</f>
        <v>30</v>
      </c>
      <c r="I216" s="226">
        <f>IFERROR(INDEX(Servicios!$E:$E,MATCH($D216,Servicios!$A:$A,0)),0)</f>
        <v>38000</v>
      </c>
      <c r="J216" s="156"/>
      <c r="K216" s="226">
        <f t="shared" si="7"/>
        <v>38000</v>
      </c>
      <c r="L216" s="226">
        <f>IFERROR(K216*IFERROR(INDEX(Servicios!$G:$G,MATCH($D216,Servicios!$A:$A,0)),0),0)</f>
        <v>11400</v>
      </c>
      <c r="M216" s="226">
        <f>IFERROR(K216-L216-IFERROR(INDEX(Servicios!$F:$F,MATCH($D216,Servicios!$A:$A,0)),0),0)</f>
        <v>26600</v>
      </c>
    </row>
    <row r="217" spans="1:13" ht="15" customHeight="1" x14ac:dyDescent="0.3">
      <c r="A217" s="165">
        <v>46217</v>
      </c>
      <c r="B217" s="231" t="str">
        <f t="shared" si="6"/>
        <v>mar</v>
      </c>
      <c r="C217" s="166" t="s">
        <v>101</v>
      </c>
      <c r="D217" s="166" t="s">
        <v>125</v>
      </c>
      <c r="E217" s="231" t="str">
        <f>IFERROR(INDEX(Servicios!$B:$B,MATCH($D217,Servicios!$A:$A,0)),"")</f>
        <v>Corte dama</v>
      </c>
      <c r="F217" s="166" t="s">
        <v>279</v>
      </c>
      <c r="G217" s="166" t="s">
        <v>43</v>
      </c>
      <c r="H217" s="230">
        <f>IFERROR(INDEX(Servicios!$D:$D,MATCH($D217,Servicios!$A:$A,0)),0)</f>
        <v>45</v>
      </c>
      <c r="I217" s="226">
        <f>IFERROR(INDEX(Servicios!$E:$E,MATCH($D217,Servicios!$A:$A,0)),0)</f>
        <v>45000</v>
      </c>
      <c r="J217" s="156"/>
      <c r="K217" s="226">
        <f t="shared" si="7"/>
        <v>45000</v>
      </c>
      <c r="L217" s="226">
        <f>IFERROR(K217*IFERROR(INDEX(Servicios!$G:$G,MATCH($D217,Servicios!$A:$A,0)),0),0)</f>
        <v>13500</v>
      </c>
      <c r="M217" s="226">
        <f>IFERROR(K217-L217-IFERROR(INDEX(Servicios!$F:$F,MATCH($D217,Servicios!$A:$A,0)),0),0)</f>
        <v>30840</v>
      </c>
    </row>
    <row r="218" spans="1:13" ht="15" customHeight="1" x14ac:dyDescent="0.3">
      <c r="A218" s="165">
        <v>46217</v>
      </c>
      <c r="B218" s="231" t="str">
        <f t="shared" si="6"/>
        <v>mar</v>
      </c>
      <c r="C218" s="166" t="s">
        <v>101</v>
      </c>
      <c r="D218" s="166" t="s">
        <v>144</v>
      </c>
      <c r="E218" s="231" t="str">
        <f>IFERROR(INDEX(Servicios!$B:$B,MATCH($D218,Servicios!$A:$A,0)),"")</f>
        <v>Cepillado y secado</v>
      </c>
      <c r="F218" s="166" t="s">
        <v>244</v>
      </c>
      <c r="G218" s="166" t="s">
        <v>43</v>
      </c>
      <c r="H218" s="230">
        <f>IFERROR(INDEX(Servicios!$D:$D,MATCH($D218,Servicios!$A:$A,0)),0)</f>
        <v>30</v>
      </c>
      <c r="I218" s="226">
        <f>IFERROR(INDEX(Servicios!$E:$E,MATCH($D218,Servicios!$A:$A,0)),0)</f>
        <v>38000</v>
      </c>
      <c r="J218" s="156"/>
      <c r="K218" s="226">
        <f t="shared" si="7"/>
        <v>38000</v>
      </c>
      <c r="L218" s="226">
        <f>IFERROR(K218*IFERROR(INDEX(Servicios!$G:$G,MATCH($D218,Servicios!$A:$A,0)),0),0)</f>
        <v>11400</v>
      </c>
      <c r="M218" s="226">
        <f>IFERROR(K218-L218-IFERROR(INDEX(Servicios!$F:$F,MATCH($D218,Servicios!$A:$A,0)),0),0)</f>
        <v>26600</v>
      </c>
    </row>
    <row r="219" spans="1:13" ht="15" customHeight="1" x14ac:dyDescent="0.3">
      <c r="A219" s="165">
        <v>46217</v>
      </c>
      <c r="B219" s="231" t="str">
        <f t="shared" si="6"/>
        <v>mar</v>
      </c>
      <c r="C219" s="166" t="s">
        <v>101</v>
      </c>
      <c r="D219" s="166" t="s">
        <v>125</v>
      </c>
      <c r="E219" s="231" t="str">
        <f>IFERROR(INDEX(Servicios!$B:$B,MATCH($D219,Servicios!$A:$A,0)),"")</f>
        <v>Corte dama</v>
      </c>
      <c r="F219" s="166" t="s">
        <v>259</v>
      </c>
      <c r="G219" s="166" t="s">
        <v>41</v>
      </c>
      <c r="H219" s="230">
        <f>IFERROR(INDEX(Servicios!$D:$D,MATCH($D219,Servicios!$A:$A,0)),0)</f>
        <v>45</v>
      </c>
      <c r="I219" s="226">
        <f>IFERROR(INDEX(Servicios!$E:$E,MATCH($D219,Servicios!$A:$A,0)),0)</f>
        <v>45000</v>
      </c>
      <c r="J219" s="156"/>
      <c r="K219" s="226">
        <f t="shared" si="7"/>
        <v>45000</v>
      </c>
      <c r="L219" s="226">
        <f>IFERROR(K219*IFERROR(INDEX(Servicios!$G:$G,MATCH($D219,Servicios!$A:$A,0)),0),0)</f>
        <v>13500</v>
      </c>
      <c r="M219" s="226">
        <f>IFERROR(K219-L219-IFERROR(INDEX(Servicios!$F:$F,MATCH($D219,Servicios!$A:$A,0)),0),0)</f>
        <v>30840</v>
      </c>
    </row>
    <row r="220" spans="1:13" ht="15" customHeight="1" x14ac:dyDescent="0.3">
      <c r="A220" s="165">
        <v>46217</v>
      </c>
      <c r="B220" s="231" t="str">
        <f t="shared" si="6"/>
        <v>mar</v>
      </c>
      <c r="C220" s="166" t="s">
        <v>101</v>
      </c>
      <c r="D220" s="166" t="s">
        <v>125</v>
      </c>
      <c r="E220" s="231" t="str">
        <f>IFERROR(INDEX(Servicios!$B:$B,MATCH($D220,Servicios!$A:$A,0)),"")</f>
        <v>Corte dama</v>
      </c>
      <c r="F220" s="166" t="s">
        <v>250</v>
      </c>
      <c r="G220" s="166" t="s">
        <v>41</v>
      </c>
      <c r="H220" s="230">
        <f>IFERROR(INDEX(Servicios!$D:$D,MATCH($D220,Servicios!$A:$A,0)),0)</f>
        <v>45</v>
      </c>
      <c r="I220" s="226">
        <f>IFERROR(INDEX(Servicios!$E:$E,MATCH($D220,Servicios!$A:$A,0)),0)</f>
        <v>45000</v>
      </c>
      <c r="J220" s="156"/>
      <c r="K220" s="226">
        <f t="shared" si="7"/>
        <v>45000</v>
      </c>
      <c r="L220" s="226">
        <f>IFERROR(K220*IFERROR(INDEX(Servicios!$G:$G,MATCH($D220,Servicios!$A:$A,0)),0),0)</f>
        <v>13500</v>
      </c>
      <c r="M220" s="226">
        <f>IFERROR(K220-L220-IFERROR(INDEX(Servicios!$F:$F,MATCH($D220,Servicios!$A:$A,0)),0),0)</f>
        <v>30840</v>
      </c>
    </row>
    <row r="221" spans="1:13" ht="15" customHeight="1" x14ac:dyDescent="0.3">
      <c r="A221" s="165">
        <v>46217</v>
      </c>
      <c r="B221" s="231" t="str">
        <f t="shared" si="6"/>
        <v>mar</v>
      </c>
      <c r="C221" s="166" t="s">
        <v>101</v>
      </c>
      <c r="D221" s="166" t="s">
        <v>128</v>
      </c>
      <c r="E221" s="231" t="str">
        <f>IFERROR(INDEX(Servicios!$B:$B,MATCH($D221,Servicios!$A:$A,0)),"")</f>
        <v>Corte caballero</v>
      </c>
      <c r="F221" s="166" t="s">
        <v>233</v>
      </c>
      <c r="G221" s="166" t="s">
        <v>43</v>
      </c>
      <c r="H221" s="230">
        <f>IFERROR(INDEX(Servicios!$D:$D,MATCH($D221,Servicios!$A:$A,0)),0)</f>
        <v>30</v>
      </c>
      <c r="I221" s="226">
        <f>IFERROR(INDEX(Servicios!$E:$E,MATCH($D221,Servicios!$A:$A,0)),0)</f>
        <v>28000</v>
      </c>
      <c r="J221" s="156"/>
      <c r="K221" s="226">
        <f t="shared" si="7"/>
        <v>28000</v>
      </c>
      <c r="L221" s="226">
        <f>IFERROR(K221*IFERROR(INDEX(Servicios!$G:$G,MATCH($D221,Servicios!$A:$A,0)),0),0)</f>
        <v>8400</v>
      </c>
      <c r="M221" s="226">
        <f>IFERROR(K221-L221-IFERROR(INDEX(Servicios!$F:$F,MATCH($D221,Servicios!$A:$A,0)),0),0)</f>
        <v>19160</v>
      </c>
    </row>
    <row r="222" spans="1:13" ht="15" customHeight="1" x14ac:dyDescent="0.3">
      <c r="A222" s="165">
        <v>46217</v>
      </c>
      <c r="B222" s="231" t="str">
        <f t="shared" si="6"/>
        <v>mar</v>
      </c>
      <c r="C222" s="166" t="s">
        <v>101</v>
      </c>
      <c r="D222" s="166" t="s">
        <v>125</v>
      </c>
      <c r="E222" s="231" t="str">
        <f>IFERROR(INDEX(Servicios!$B:$B,MATCH($D222,Servicios!$A:$A,0)),"")</f>
        <v>Corte dama</v>
      </c>
      <c r="F222" s="166" t="s">
        <v>239</v>
      </c>
      <c r="G222" s="166" t="s">
        <v>43</v>
      </c>
      <c r="H222" s="230">
        <f>IFERROR(INDEX(Servicios!$D:$D,MATCH($D222,Servicios!$A:$A,0)),0)</f>
        <v>45</v>
      </c>
      <c r="I222" s="226">
        <f>IFERROR(INDEX(Servicios!$E:$E,MATCH($D222,Servicios!$A:$A,0)),0)</f>
        <v>45000</v>
      </c>
      <c r="J222" s="156"/>
      <c r="K222" s="226">
        <f t="shared" si="7"/>
        <v>45000</v>
      </c>
      <c r="L222" s="226">
        <f>IFERROR(K222*IFERROR(INDEX(Servicios!$G:$G,MATCH($D222,Servicios!$A:$A,0)),0),0)</f>
        <v>13500</v>
      </c>
      <c r="M222" s="226">
        <f>IFERROR(K222-L222-IFERROR(INDEX(Servicios!$F:$F,MATCH($D222,Servicios!$A:$A,0)),0),0)</f>
        <v>30840</v>
      </c>
    </row>
    <row r="223" spans="1:13" ht="15" customHeight="1" x14ac:dyDescent="0.3">
      <c r="A223" s="165">
        <v>46217</v>
      </c>
      <c r="B223" s="231" t="str">
        <f t="shared" si="6"/>
        <v>mar</v>
      </c>
      <c r="C223" s="166" t="s">
        <v>101</v>
      </c>
      <c r="D223" s="166" t="s">
        <v>125</v>
      </c>
      <c r="E223" s="231" t="str">
        <f>IFERROR(INDEX(Servicios!$B:$B,MATCH($D223,Servicios!$A:$A,0)),"")</f>
        <v>Corte dama</v>
      </c>
      <c r="F223" s="166" t="s">
        <v>245</v>
      </c>
      <c r="G223" s="166" t="s">
        <v>41</v>
      </c>
      <c r="H223" s="230">
        <f>IFERROR(INDEX(Servicios!$D:$D,MATCH($D223,Servicios!$A:$A,0)),0)</f>
        <v>45</v>
      </c>
      <c r="I223" s="226">
        <f>IFERROR(INDEX(Servicios!$E:$E,MATCH($D223,Servicios!$A:$A,0)),0)</f>
        <v>45000</v>
      </c>
      <c r="J223" s="156"/>
      <c r="K223" s="226">
        <f t="shared" si="7"/>
        <v>45000</v>
      </c>
      <c r="L223" s="226">
        <f>IFERROR(K223*IFERROR(INDEX(Servicios!$G:$G,MATCH($D223,Servicios!$A:$A,0)),0),0)</f>
        <v>13500</v>
      </c>
      <c r="M223" s="226">
        <f>IFERROR(K223-L223-IFERROR(INDEX(Servicios!$F:$F,MATCH($D223,Servicios!$A:$A,0)),0),0)</f>
        <v>30840</v>
      </c>
    </row>
    <row r="224" spans="1:13" ht="15" customHeight="1" x14ac:dyDescent="0.3">
      <c r="A224" s="165">
        <v>46217</v>
      </c>
      <c r="B224" s="231" t="str">
        <f t="shared" si="6"/>
        <v>mar</v>
      </c>
      <c r="C224" s="166" t="s">
        <v>104</v>
      </c>
      <c r="D224" s="166" t="s">
        <v>130</v>
      </c>
      <c r="E224" s="231" t="str">
        <f>IFERROR(INDEX(Servicios!$B:$B,MATCH($D224,Servicios!$A:$A,0)),"")</f>
        <v>Coloración raíz</v>
      </c>
      <c r="F224" s="166" t="s">
        <v>223</v>
      </c>
      <c r="G224" s="166" t="s">
        <v>41</v>
      </c>
      <c r="H224" s="230">
        <f>IFERROR(INDEX(Servicios!$D:$D,MATCH($D224,Servicios!$A:$A,0)),0)</f>
        <v>90</v>
      </c>
      <c r="I224" s="226">
        <f>IFERROR(INDEX(Servicios!$E:$E,MATCH($D224,Servicios!$A:$A,0)),0)</f>
        <v>120000</v>
      </c>
      <c r="J224" s="156"/>
      <c r="K224" s="226">
        <f t="shared" si="7"/>
        <v>120000</v>
      </c>
      <c r="L224" s="226">
        <f>IFERROR(K224*IFERROR(INDEX(Servicios!$G:$G,MATCH($D224,Servicios!$A:$A,0)),0),0)</f>
        <v>42000</v>
      </c>
      <c r="M224" s="226">
        <f>IFERROR(K224-L224-IFERROR(INDEX(Servicios!$F:$F,MATCH($D224,Servicios!$A:$A,0)),0),0)</f>
        <v>72645</v>
      </c>
    </row>
    <row r="225" spans="1:13" ht="15" customHeight="1" x14ac:dyDescent="0.3">
      <c r="A225" s="165">
        <v>46217</v>
      </c>
      <c r="B225" s="231" t="str">
        <f t="shared" si="6"/>
        <v>mar</v>
      </c>
      <c r="C225" s="166" t="s">
        <v>104</v>
      </c>
      <c r="D225" s="166" t="s">
        <v>130</v>
      </c>
      <c r="E225" s="231" t="str">
        <f>IFERROR(INDEX(Servicios!$B:$B,MATCH($D225,Servicios!$A:$A,0)),"")</f>
        <v>Coloración raíz</v>
      </c>
      <c r="F225" s="166" t="s">
        <v>234</v>
      </c>
      <c r="G225" s="166" t="s">
        <v>41</v>
      </c>
      <c r="H225" s="230">
        <f>IFERROR(INDEX(Servicios!$D:$D,MATCH($D225,Servicios!$A:$A,0)),0)</f>
        <v>90</v>
      </c>
      <c r="I225" s="226">
        <f>IFERROR(INDEX(Servicios!$E:$E,MATCH($D225,Servicios!$A:$A,0)),0)</f>
        <v>120000</v>
      </c>
      <c r="J225" s="156"/>
      <c r="K225" s="226">
        <f t="shared" si="7"/>
        <v>120000</v>
      </c>
      <c r="L225" s="226">
        <f>IFERROR(K225*IFERROR(INDEX(Servicios!$G:$G,MATCH($D225,Servicios!$A:$A,0)),0),0)</f>
        <v>42000</v>
      </c>
      <c r="M225" s="226">
        <f>IFERROR(K225-L225-IFERROR(INDEX(Servicios!$F:$F,MATCH($D225,Servicios!$A:$A,0)),0),0)</f>
        <v>72645</v>
      </c>
    </row>
    <row r="226" spans="1:13" ht="15" customHeight="1" x14ac:dyDescent="0.3">
      <c r="A226" s="165">
        <v>46217</v>
      </c>
      <c r="B226" s="231" t="str">
        <f t="shared" si="6"/>
        <v>mar</v>
      </c>
      <c r="C226" s="166" t="s">
        <v>104</v>
      </c>
      <c r="D226" s="166" t="s">
        <v>135</v>
      </c>
      <c r="E226" s="231" t="str">
        <f>IFERROR(INDEX(Servicios!$B:$B,MATCH($D226,Servicios!$A:$A,0)),"")</f>
        <v>Keratina</v>
      </c>
      <c r="F226" s="166" t="s">
        <v>262</v>
      </c>
      <c r="G226" s="166" t="s">
        <v>41</v>
      </c>
      <c r="H226" s="230">
        <f>IFERROR(INDEX(Servicios!$D:$D,MATCH($D226,Servicios!$A:$A,0)),0)</f>
        <v>150</v>
      </c>
      <c r="I226" s="226">
        <f>IFERROR(INDEX(Servicios!$E:$E,MATCH($D226,Servicios!$A:$A,0)),0)</f>
        <v>280000</v>
      </c>
      <c r="J226" s="156"/>
      <c r="K226" s="226">
        <f t="shared" si="7"/>
        <v>280000</v>
      </c>
      <c r="L226" s="226">
        <f>IFERROR(K226*IFERROR(INDEX(Servicios!$G:$G,MATCH($D226,Servicios!$A:$A,0)),0),0)</f>
        <v>98000</v>
      </c>
      <c r="M226" s="226">
        <f>IFERROR(K226-L226-IFERROR(INDEX(Servicios!$F:$F,MATCH($D226,Servicios!$A:$A,0)),0),0)</f>
        <v>163100</v>
      </c>
    </row>
    <row r="227" spans="1:13" ht="15" customHeight="1" x14ac:dyDescent="0.3">
      <c r="A227" s="165">
        <v>46217</v>
      </c>
      <c r="B227" s="231" t="str">
        <f t="shared" si="6"/>
        <v>mar</v>
      </c>
      <c r="C227" s="166" t="s">
        <v>107</v>
      </c>
      <c r="D227" s="166" t="s">
        <v>138</v>
      </c>
      <c r="E227" s="231" t="str">
        <f>IFERROR(INDEX(Servicios!$B:$B,MATCH($D227,Servicios!$A:$A,0)),"")</f>
        <v>Manicure</v>
      </c>
      <c r="F227" s="166" t="s">
        <v>287</v>
      </c>
      <c r="G227" s="166" t="s">
        <v>43</v>
      </c>
      <c r="H227" s="230">
        <f>IFERROR(INDEX(Servicios!$D:$D,MATCH($D227,Servicios!$A:$A,0)),0)</f>
        <v>45</v>
      </c>
      <c r="I227" s="226">
        <f>IFERROR(INDEX(Servicios!$E:$E,MATCH($D227,Servicios!$A:$A,0)),0)</f>
        <v>35000</v>
      </c>
      <c r="J227" s="156"/>
      <c r="K227" s="226">
        <f t="shared" si="7"/>
        <v>35000</v>
      </c>
      <c r="L227" s="226">
        <f>IFERROR(K227*IFERROR(INDEX(Servicios!$G:$G,MATCH($D227,Servicios!$A:$A,0)),0),0)</f>
        <v>8750</v>
      </c>
      <c r="M227" s="226">
        <f>IFERROR(K227-L227-IFERROR(INDEX(Servicios!$F:$F,MATCH($D227,Servicios!$A:$A,0)),0),0)</f>
        <v>25740</v>
      </c>
    </row>
    <row r="228" spans="1:13" ht="15" customHeight="1" x14ac:dyDescent="0.3">
      <c r="A228" s="165">
        <v>46217</v>
      </c>
      <c r="B228" s="231" t="str">
        <f t="shared" si="6"/>
        <v>mar</v>
      </c>
      <c r="C228" s="166" t="s">
        <v>107</v>
      </c>
      <c r="D228" s="166" t="s">
        <v>138</v>
      </c>
      <c r="E228" s="231" t="str">
        <f>IFERROR(INDEX(Servicios!$B:$B,MATCH($D228,Servicios!$A:$A,0)),"")</f>
        <v>Manicure</v>
      </c>
      <c r="F228" s="166" t="s">
        <v>267</v>
      </c>
      <c r="G228" s="166" t="s">
        <v>41</v>
      </c>
      <c r="H228" s="230">
        <f>IFERROR(INDEX(Servicios!$D:$D,MATCH($D228,Servicios!$A:$A,0)),0)</f>
        <v>45</v>
      </c>
      <c r="I228" s="226">
        <f>IFERROR(INDEX(Servicios!$E:$E,MATCH($D228,Servicios!$A:$A,0)),0)</f>
        <v>35000</v>
      </c>
      <c r="J228" s="156"/>
      <c r="K228" s="226">
        <f t="shared" si="7"/>
        <v>35000</v>
      </c>
      <c r="L228" s="226">
        <f>IFERROR(K228*IFERROR(INDEX(Servicios!$G:$G,MATCH($D228,Servicios!$A:$A,0)),0),0)</f>
        <v>8750</v>
      </c>
      <c r="M228" s="226">
        <f>IFERROR(K228-L228-IFERROR(INDEX(Servicios!$F:$F,MATCH($D228,Servicios!$A:$A,0)),0),0)</f>
        <v>25740</v>
      </c>
    </row>
    <row r="229" spans="1:13" ht="15" customHeight="1" x14ac:dyDescent="0.3">
      <c r="A229" s="165">
        <v>46217</v>
      </c>
      <c r="B229" s="231" t="str">
        <f t="shared" si="6"/>
        <v>mar</v>
      </c>
      <c r="C229" s="166" t="s">
        <v>107</v>
      </c>
      <c r="D229" s="166" t="s">
        <v>138</v>
      </c>
      <c r="E229" s="231" t="str">
        <f>IFERROR(INDEX(Servicios!$B:$B,MATCH($D229,Servicios!$A:$A,0)),"")</f>
        <v>Manicure</v>
      </c>
      <c r="F229" s="166" t="s">
        <v>239</v>
      </c>
      <c r="G229" s="166" t="s">
        <v>41</v>
      </c>
      <c r="H229" s="230">
        <f>IFERROR(INDEX(Servicios!$D:$D,MATCH($D229,Servicios!$A:$A,0)),0)</f>
        <v>45</v>
      </c>
      <c r="I229" s="226">
        <f>IFERROR(INDEX(Servicios!$E:$E,MATCH($D229,Servicios!$A:$A,0)),0)</f>
        <v>35000</v>
      </c>
      <c r="J229" s="156"/>
      <c r="K229" s="226">
        <f t="shared" si="7"/>
        <v>35000</v>
      </c>
      <c r="L229" s="226">
        <f>IFERROR(K229*IFERROR(INDEX(Servicios!$G:$G,MATCH($D229,Servicios!$A:$A,0)),0),0)</f>
        <v>8750</v>
      </c>
      <c r="M229" s="226">
        <f>IFERROR(K229-L229-IFERROR(INDEX(Servicios!$F:$F,MATCH($D229,Servicios!$A:$A,0)),0),0)</f>
        <v>25740</v>
      </c>
    </row>
    <row r="230" spans="1:13" ht="15" customHeight="1" x14ac:dyDescent="0.3">
      <c r="A230" s="165">
        <v>46217</v>
      </c>
      <c r="B230" s="231" t="str">
        <f t="shared" si="6"/>
        <v>mar</v>
      </c>
      <c r="C230" s="166" t="s">
        <v>107</v>
      </c>
      <c r="D230" s="166" t="s">
        <v>138</v>
      </c>
      <c r="E230" s="231" t="str">
        <f>IFERROR(INDEX(Servicios!$B:$B,MATCH($D230,Servicios!$A:$A,0)),"")</f>
        <v>Manicure</v>
      </c>
      <c r="F230" s="166" t="s">
        <v>269</v>
      </c>
      <c r="G230" s="166" t="s">
        <v>41</v>
      </c>
      <c r="H230" s="230">
        <f>IFERROR(INDEX(Servicios!$D:$D,MATCH($D230,Servicios!$A:$A,0)),0)</f>
        <v>45</v>
      </c>
      <c r="I230" s="226">
        <f>IFERROR(INDEX(Servicios!$E:$E,MATCH($D230,Servicios!$A:$A,0)),0)</f>
        <v>35000</v>
      </c>
      <c r="J230" s="156"/>
      <c r="K230" s="226">
        <f t="shared" si="7"/>
        <v>35000</v>
      </c>
      <c r="L230" s="226">
        <f>IFERROR(K230*IFERROR(INDEX(Servicios!$G:$G,MATCH($D230,Servicios!$A:$A,0)),0),0)</f>
        <v>8750</v>
      </c>
      <c r="M230" s="226">
        <f>IFERROR(K230-L230-IFERROR(INDEX(Servicios!$F:$F,MATCH($D230,Servicios!$A:$A,0)),0),0)</f>
        <v>25740</v>
      </c>
    </row>
    <row r="231" spans="1:13" ht="15" customHeight="1" x14ac:dyDescent="0.3">
      <c r="A231" s="165">
        <v>46217</v>
      </c>
      <c r="B231" s="231" t="str">
        <f t="shared" si="6"/>
        <v>mar</v>
      </c>
      <c r="C231" s="166" t="s">
        <v>107</v>
      </c>
      <c r="D231" s="166" t="s">
        <v>138</v>
      </c>
      <c r="E231" s="231" t="str">
        <f>IFERROR(INDEX(Servicios!$B:$B,MATCH($D231,Servicios!$A:$A,0)),"")</f>
        <v>Manicure</v>
      </c>
      <c r="F231" s="166" t="s">
        <v>271</v>
      </c>
      <c r="G231" s="166" t="s">
        <v>43</v>
      </c>
      <c r="H231" s="230">
        <f>IFERROR(INDEX(Servicios!$D:$D,MATCH($D231,Servicios!$A:$A,0)),0)</f>
        <v>45</v>
      </c>
      <c r="I231" s="226">
        <f>IFERROR(INDEX(Servicios!$E:$E,MATCH($D231,Servicios!$A:$A,0)),0)</f>
        <v>35000</v>
      </c>
      <c r="J231" s="156"/>
      <c r="K231" s="226">
        <f t="shared" si="7"/>
        <v>35000</v>
      </c>
      <c r="L231" s="226">
        <f>IFERROR(K231*IFERROR(INDEX(Servicios!$G:$G,MATCH($D231,Servicios!$A:$A,0)),0),0)</f>
        <v>8750</v>
      </c>
      <c r="M231" s="226">
        <f>IFERROR(K231-L231-IFERROR(INDEX(Servicios!$F:$F,MATCH($D231,Servicios!$A:$A,0)),0),0)</f>
        <v>25740</v>
      </c>
    </row>
    <row r="232" spans="1:13" ht="15" customHeight="1" x14ac:dyDescent="0.3">
      <c r="A232" s="165">
        <v>46217</v>
      </c>
      <c r="B232" s="231" t="str">
        <f t="shared" si="6"/>
        <v>mar</v>
      </c>
      <c r="C232" s="166" t="s">
        <v>107</v>
      </c>
      <c r="D232" s="166" t="s">
        <v>138</v>
      </c>
      <c r="E232" s="231" t="str">
        <f>IFERROR(INDEX(Servicios!$B:$B,MATCH($D232,Servicios!$A:$A,0)),"")</f>
        <v>Manicure</v>
      </c>
      <c r="F232" s="166" t="s">
        <v>279</v>
      </c>
      <c r="G232" s="166" t="s">
        <v>41</v>
      </c>
      <c r="H232" s="230">
        <f>IFERROR(INDEX(Servicios!$D:$D,MATCH($D232,Servicios!$A:$A,0)),0)</f>
        <v>45</v>
      </c>
      <c r="I232" s="226">
        <f>IFERROR(INDEX(Servicios!$E:$E,MATCH($D232,Servicios!$A:$A,0)),0)</f>
        <v>35000</v>
      </c>
      <c r="J232" s="156"/>
      <c r="K232" s="226">
        <f t="shared" si="7"/>
        <v>35000</v>
      </c>
      <c r="L232" s="226">
        <f>IFERROR(K232*IFERROR(INDEX(Servicios!$G:$G,MATCH($D232,Servicios!$A:$A,0)),0),0)</f>
        <v>8750</v>
      </c>
      <c r="M232" s="226">
        <f>IFERROR(K232-L232-IFERROR(INDEX(Servicios!$F:$F,MATCH($D232,Servicios!$A:$A,0)),0),0)</f>
        <v>25740</v>
      </c>
    </row>
    <row r="233" spans="1:13" ht="15" customHeight="1" x14ac:dyDescent="0.3">
      <c r="A233" s="165">
        <v>46218</v>
      </c>
      <c r="B233" s="231" t="str">
        <f t="shared" si="6"/>
        <v>mié</v>
      </c>
      <c r="C233" s="166" t="s">
        <v>98</v>
      </c>
      <c r="D233" s="166" t="s">
        <v>125</v>
      </c>
      <c r="E233" s="231" t="str">
        <f>IFERROR(INDEX(Servicios!$B:$B,MATCH($D233,Servicios!$A:$A,0)),"")</f>
        <v>Corte dama</v>
      </c>
      <c r="F233" s="166" t="s">
        <v>272</v>
      </c>
      <c r="G233" s="166" t="s">
        <v>41</v>
      </c>
      <c r="H233" s="230">
        <f>IFERROR(INDEX(Servicios!$D:$D,MATCH($D233,Servicios!$A:$A,0)),0)</f>
        <v>45</v>
      </c>
      <c r="I233" s="226">
        <f>IFERROR(INDEX(Servicios!$E:$E,MATCH($D233,Servicios!$A:$A,0)),0)</f>
        <v>45000</v>
      </c>
      <c r="J233" s="156"/>
      <c r="K233" s="226">
        <f t="shared" si="7"/>
        <v>45000</v>
      </c>
      <c r="L233" s="226">
        <f>IFERROR(K233*IFERROR(INDEX(Servicios!$G:$G,MATCH($D233,Servicios!$A:$A,0)),0),0)</f>
        <v>13500</v>
      </c>
      <c r="M233" s="226">
        <f>IFERROR(K233-L233-IFERROR(INDEX(Servicios!$F:$F,MATCH($D233,Servicios!$A:$A,0)),0),0)</f>
        <v>30840</v>
      </c>
    </row>
    <row r="234" spans="1:13" ht="15" customHeight="1" x14ac:dyDescent="0.3">
      <c r="A234" s="165">
        <v>46218</v>
      </c>
      <c r="B234" s="231" t="str">
        <f t="shared" si="6"/>
        <v>mié</v>
      </c>
      <c r="C234" s="166" t="s">
        <v>98</v>
      </c>
      <c r="D234" s="166" t="s">
        <v>125</v>
      </c>
      <c r="E234" s="231" t="str">
        <f>IFERROR(INDEX(Servicios!$B:$B,MATCH($D234,Servicios!$A:$A,0)),"")</f>
        <v>Corte dama</v>
      </c>
      <c r="F234" s="166" t="s">
        <v>243</v>
      </c>
      <c r="G234" s="166" t="s">
        <v>41</v>
      </c>
      <c r="H234" s="230">
        <f>IFERROR(INDEX(Servicios!$D:$D,MATCH($D234,Servicios!$A:$A,0)),0)</f>
        <v>45</v>
      </c>
      <c r="I234" s="226">
        <f>IFERROR(INDEX(Servicios!$E:$E,MATCH($D234,Servicios!$A:$A,0)),0)</f>
        <v>45000</v>
      </c>
      <c r="J234" s="156"/>
      <c r="K234" s="226">
        <f t="shared" si="7"/>
        <v>45000</v>
      </c>
      <c r="L234" s="226">
        <f>IFERROR(K234*IFERROR(INDEX(Servicios!$G:$G,MATCH($D234,Servicios!$A:$A,0)),0),0)</f>
        <v>13500</v>
      </c>
      <c r="M234" s="226">
        <f>IFERROR(K234-L234-IFERROR(INDEX(Servicios!$F:$F,MATCH($D234,Servicios!$A:$A,0)),0),0)</f>
        <v>30840</v>
      </c>
    </row>
    <row r="235" spans="1:13" ht="15" customHeight="1" x14ac:dyDescent="0.3">
      <c r="A235" s="165">
        <v>46218</v>
      </c>
      <c r="B235" s="231" t="str">
        <f t="shared" si="6"/>
        <v>mié</v>
      </c>
      <c r="C235" s="166" t="s">
        <v>98</v>
      </c>
      <c r="D235" s="166" t="s">
        <v>125</v>
      </c>
      <c r="E235" s="231" t="str">
        <f>IFERROR(INDEX(Servicios!$B:$B,MATCH($D235,Servicios!$A:$A,0)),"")</f>
        <v>Corte dama</v>
      </c>
      <c r="F235" s="166" t="s">
        <v>276</v>
      </c>
      <c r="G235" s="166" t="s">
        <v>45</v>
      </c>
      <c r="H235" s="230">
        <f>IFERROR(INDEX(Servicios!$D:$D,MATCH($D235,Servicios!$A:$A,0)),0)</f>
        <v>45</v>
      </c>
      <c r="I235" s="226">
        <f>IFERROR(INDEX(Servicios!$E:$E,MATCH($D235,Servicios!$A:$A,0)),0)</f>
        <v>45000</v>
      </c>
      <c r="J235" s="156"/>
      <c r="K235" s="226">
        <f t="shared" si="7"/>
        <v>45000</v>
      </c>
      <c r="L235" s="226">
        <f>IFERROR(K235*IFERROR(INDEX(Servicios!$G:$G,MATCH($D235,Servicios!$A:$A,0)),0),0)</f>
        <v>13500</v>
      </c>
      <c r="M235" s="226">
        <f>IFERROR(K235-L235-IFERROR(INDEX(Servicios!$F:$F,MATCH($D235,Servicios!$A:$A,0)),0),0)</f>
        <v>30840</v>
      </c>
    </row>
    <row r="236" spans="1:13" ht="15" customHeight="1" x14ac:dyDescent="0.3">
      <c r="A236" s="165">
        <v>46218</v>
      </c>
      <c r="B236" s="231" t="str">
        <f t="shared" si="6"/>
        <v>mié</v>
      </c>
      <c r="C236" s="166" t="s">
        <v>98</v>
      </c>
      <c r="D236" s="166" t="s">
        <v>125</v>
      </c>
      <c r="E236" s="231" t="str">
        <f>IFERROR(INDEX(Servicios!$B:$B,MATCH($D236,Servicios!$A:$A,0)),"")</f>
        <v>Corte dama</v>
      </c>
      <c r="F236" s="166" t="s">
        <v>290</v>
      </c>
      <c r="G236" s="166" t="s">
        <v>41</v>
      </c>
      <c r="H236" s="230">
        <f>IFERROR(INDEX(Servicios!$D:$D,MATCH($D236,Servicios!$A:$A,0)),0)</f>
        <v>45</v>
      </c>
      <c r="I236" s="226">
        <f>IFERROR(INDEX(Servicios!$E:$E,MATCH($D236,Servicios!$A:$A,0)),0)</f>
        <v>45000</v>
      </c>
      <c r="J236" s="156"/>
      <c r="K236" s="226">
        <f t="shared" si="7"/>
        <v>45000</v>
      </c>
      <c r="L236" s="226">
        <f>IFERROR(K236*IFERROR(INDEX(Servicios!$G:$G,MATCH($D236,Servicios!$A:$A,0)),0),0)</f>
        <v>13500</v>
      </c>
      <c r="M236" s="226">
        <f>IFERROR(K236-L236-IFERROR(INDEX(Servicios!$F:$F,MATCH($D236,Servicios!$A:$A,0)),0),0)</f>
        <v>30840</v>
      </c>
    </row>
    <row r="237" spans="1:13" ht="15" customHeight="1" x14ac:dyDescent="0.3">
      <c r="A237" s="165">
        <v>46218</v>
      </c>
      <c r="B237" s="231" t="str">
        <f t="shared" si="6"/>
        <v>mié</v>
      </c>
      <c r="C237" s="166" t="s">
        <v>98</v>
      </c>
      <c r="D237" s="166" t="s">
        <v>125</v>
      </c>
      <c r="E237" s="231" t="str">
        <f>IFERROR(INDEX(Servicios!$B:$B,MATCH($D237,Servicios!$A:$A,0)),"")</f>
        <v>Corte dama</v>
      </c>
      <c r="F237" s="166" t="s">
        <v>247</v>
      </c>
      <c r="G237" s="166" t="s">
        <v>41</v>
      </c>
      <c r="H237" s="230">
        <f>IFERROR(INDEX(Servicios!$D:$D,MATCH($D237,Servicios!$A:$A,0)),0)</f>
        <v>45</v>
      </c>
      <c r="I237" s="226">
        <f>IFERROR(INDEX(Servicios!$E:$E,MATCH($D237,Servicios!$A:$A,0)),0)</f>
        <v>45000</v>
      </c>
      <c r="J237" s="156"/>
      <c r="K237" s="226">
        <f t="shared" si="7"/>
        <v>45000</v>
      </c>
      <c r="L237" s="226">
        <f>IFERROR(K237*IFERROR(INDEX(Servicios!$G:$G,MATCH($D237,Servicios!$A:$A,0)),0),0)</f>
        <v>13500</v>
      </c>
      <c r="M237" s="226">
        <f>IFERROR(K237-L237-IFERROR(INDEX(Servicios!$F:$F,MATCH($D237,Servicios!$A:$A,0)),0),0)</f>
        <v>30840</v>
      </c>
    </row>
    <row r="238" spans="1:13" ht="15" customHeight="1" x14ac:dyDescent="0.3">
      <c r="A238" s="165">
        <v>46218</v>
      </c>
      <c r="B238" s="231" t="str">
        <f t="shared" si="6"/>
        <v>mié</v>
      </c>
      <c r="C238" s="166" t="s">
        <v>98</v>
      </c>
      <c r="D238" s="166" t="s">
        <v>141</v>
      </c>
      <c r="E238" s="231" t="str">
        <f>IFERROR(INDEX(Servicios!$B:$B,MATCH($D238,Servicios!$A:$A,0)),"")</f>
        <v>Peinado / brushing</v>
      </c>
      <c r="F238" s="166" t="s">
        <v>224</v>
      </c>
      <c r="G238" s="166" t="s">
        <v>43</v>
      </c>
      <c r="H238" s="230">
        <f>IFERROR(INDEX(Servicios!$D:$D,MATCH($D238,Servicios!$A:$A,0)),0)</f>
        <v>40</v>
      </c>
      <c r="I238" s="226">
        <f>IFERROR(INDEX(Servicios!$E:$E,MATCH($D238,Servicios!$A:$A,0)),0)</f>
        <v>55000</v>
      </c>
      <c r="J238" s="156"/>
      <c r="K238" s="226">
        <f t="shared" si="7"/>
        <v>55000</v>
      </c>
      <c r="L238" s="226">
        <f>IFERROR(K238*IFERROR(INDEX(Servicios!$G:$G,MATCH($D238,Servicios!$A:$A,0)),0),0)</f>
        <v>16500</v>
      </c>
      <c r="M238" s="226">
        <f>IFERROR(K238-L238-IFERROR(INDEX(Servicios!$F:$F,MATCH($D238,Servicios!$A:$A,0)),0),0)</f>
        <v>38500</v>
      </c>
    </row>
    <row r="239" spans="1:13" ht="15" customHeight="1" x14ac:dyDescent="0.3">
      <c r="A239" s="165">
        <v>46218</v>
      </c>
      <c r="B239" s="231" t="str">
        <f t="shared" si="6"/>
        <v>mié</v>
      </c>
      <c r="C239" s="166" t="s">
        <v>98</v>
      </c>
      <c r="D239" s="166" t="s">
        <v>141</v>
      </c>
      <c r="E239" s="231" t="str">
        <f>IFERROR(INDEX(Servicios!$B:$B,MATCH($D239,Servicios!$A:$A,0)),"")</f>
        <v>Peinado / brushing</v>
      </c>
      <c r="F239" s="166" t="s">
        <v>284</v>
      </c>
      <c r="G239" s="166" t="s">
        <v>43</v>
      </c>
      <c r="H239" s="230">
        <f>IFERROR(INDEX(Servicios!$D:$D,MATCH($D239,Servicios!$A:$A,0)),0)</f>
        <v>40</v>
      </c>
      <c r="I239" s="226">
        <f>IFERROR(INDEX(Servicios!$E:$E,MATCH($D239,Servicios!$A:$A,0)),0)</f>
        <v>55000</v>
      </c>
      <c r="J239" s="156"/>
      <c r="K239" s="226">
        <f t="shared" si="7"/>
        <v>55000</v>
      </c>
      <c r="L239" s="226">
        <f>IFERROR(K239*IFERROR(INDEX(Servicios!$G:$G,MATCH($D239,Servicios!$A:$A,0)),0),0)</f>
        <v>16500</v>
      </c>
      <c r="M239" s="226">
        <f>IFERROR(K239-L239-IFERROR(INDEX(Servicios!$F:$F,MATCH($D239,Servicios!$A:$A,0)),0),0)</f>
        <v>38500</v>
      </c>
    </row>
    <row r="240" spans="1:13" ht="15" customHeight="1" x14ac:dyDescent="0.3">
      <c r="A240" s="165">
        <v>46218</v>
      </c>
      <c r="B240" s="231" t="str">
        <f t="shared" si="6"/>
        <v>mié</v>
      </c>
      <c r="C240" s="166" t="s">
        <v>98</v>
      </c>
      <c r="D240" s="166" t="s">
        <v>128</v>
      </c>
      <c r="E240" s="231" t="str">
        <f>IFERROR(INDEX(Servicios!$B:$B,MATCH($D240,Servicios!$A:$A,0)),"")</f>
        <v>Corte caballero</v>
      </c>
      <c r="F240" s="166" t="s">
        <v>227</v>
      </c>
      <c r="G240" s="166" t="s">
        <v>43</v>
      </c>
      <c r="H240" s="230">
        <f>IFERROR(INDEX(Servicios!$D:$D,MATCH($D240,Servicios!$A:$A,0)),0)</f>
        <v>30</v>
      </c>
      <c r="I240" s="226">
        <f>IFERROR(INDEX(Servicios!$E:$E,MATCH($D240,Servicios!$A:$A,0)),0)</f>
        <v>28000</v>
      </c>
      <c r="J240" s="156"/>
      <c r="K240" s="226">
        <f t="shared" si="7"/>
        <v>28000</v>
      </c>
      <c r="L240" s="226">
        <f>IFERROR(K240*IFERROR(INDEX(Servicios!$G:$G,MATCH($D240,Servicios!$A:$A,0)),0),0)</f>
        <v>8400</v>
      </c>
      <c r="M240" s="226">
        <f>IFERROR(K240-L240-IFERROR(INDEX(Servicios!$F:$F,MATCH($D240,Servicios!$A:$A,0)),0),0)</f>
        <v>19160</v>
      </c>
    </row>
    <row r="241" spans="1:13" ht="15" customHeight="1" x14ac:dyDescent="0.3">
      <c r="A241" s="165">
        <v>46218</v>
      </c>
      <c r="B241" s="231" t="str">
        <f t="shared" si="6"/>
        <v>mié</v>
      </c>
      <c r="C241" s="166" t="s">
        <v>98</v>
      </c>
      <c r="D241" s="166" t="s">
        <v>125</v>
      </c>
      <c r="E241" s="231" t="str">
        <f>IFERROR(INDEX(Servicios!$B:$B,MATCH($D241,Servicios!$A:$A,0)),"")</f>
        <v>Corte dama</v>
      </c>
      <c r="F241" s="166" t="s">
        <v>226</v>
      </c>
      <c r="G241" s="166" t="s">
        <v>41</v>
      </c>
      <c r="H241" s="230">
        <f>IFERROR(INDEX(Servicios!$D:$D,MATCH($D241,Servicios!$A:$A,0)),0)</f>
        <v>45</v>
      </c>
      <c r="I241" s="226">
        <f>IFERROR(INDEX(Servicios!$E:$E,MATCH($D241,Servicios!$A:$A,0)),0)</f>
        <v>45000</v>
      </c>
      <c r="J241" s="156"/>
      <c r="K241" s="226">
        <f t="shared" si="7"/>
        <v>45000</v>
      </c>
      <c r="L241" s="226">
        <f>IFERROR(K241*IFERROR(INDEX(Servicios!$G:$G,MATCH($D241,Servicios!$A:$A,0)),0),0)</f>
        <v>13500</v>
      </c>
      <c r="M241" s="226">
        <f>IFERROR(K241-L241-IFERROR(INDEX(Servicios!$F:$F,MATCH($D241,Servicios!$A:$A,0)),0),0)</f>
        <v>30840</v>
      </c>
    </row>
    <row r="242" spans="1:13" ht="15" customHeight="1" x14ac:dyDescent="0.3">
      <c r="A242" s="165">
        <v>46218</v>
      </c>
      <c r="B242" s="231" t="str">
        <f t="shared" si="6"/>
        <v>mié</v>
      </c>
      <c r="C242" s="166" t="s">
        <v>101</v>
      </c>
      <c r="D242" s="166" t="s">
        <v>125</v>
      </c>
      <c r="E242" s="231" t="str">
        <f>IFERROR(INDEX(Servicios!$B:$B,MATCH($D242,Servicios!$A:$A,0)),"")</f>
        <v>Corte dama</v>
      </c>
      <c r="F242" s="166" t="s">
        <v>281</v>
      </c>
      <c r="G242" s="166" t="s">
        <v>41</v>
      </c>
      <c r="H242" s="230">
        <f>IFERROR(INDEX(Servicios!$D:$D,MATCH($D242,Servicios!$A:$A,0)),0)</f>
        <v>45</v>
      </c>
      <c r="I242" s="226">
        <f>IFERROR(INDEX(Servicios!$E:$E,MATCH($D242,Servicios!$A:$A,0)),0)</f>
        <v>45000</v>
      </c>
      <c r="J242" s="156"/>
      <c r="K242" s="226">
        <f t="shared" si="7"/>
        <v>45000</v>
      </c>
      <c r="L242" s="226">
        <f>IFERROR(K242*IFERROR(INDEX(Servicios!$G:$G,MATCH($D242,Servicios!$A:$A,0)),0),0)</f>
        <v>13500</v>
      </c>
      <c r="M242" s="226">
        <f>IFERROR(K242-L242-IFERROR(INDEX(Servicios!$F:$F,MATCH($D242,Servicios!$A:$A,0)),0),0)</f>
        <v>30840</v>
      </c>
    </row>
    <row r="243" spans="1:13" ht="15" customHeight="1" x14ac:dyDescent="0.3">
      <c r="A243" s="165">
        <v>46218</v>
      </c>
      <c r="B243" s="231" t="str">
        <f t="shared" si="6"/>
        <v>mié</v>
      </c>
      <c r="C243" s="166" t="s">
        <v>101</v>
      </c>
      <c r="D243" s="166" t="s">
        <v>128</v>
      </c>
      <c r="E243" s="231" t="str">
        <f>IFERROR(INDEX(Servicios!$B:$B,MATCH($D243,Servicios!$A:$A,0)),"")</f>
        <v>Corte caballero</v>
      </c>
      <c r="F243" s="166" t="s">
        <v>283</v>
      </c>
      <c r="G243" s="166" t="s">
        <v>43</v>
      </c>
      <c r="H243" s="230">
        <f>IFERROR(INDEX(Servicios!$D:$D,MATCH($D243,Servicios!$A:$A,0)),0)</f>
        <v>30</v>
      </c>
      <c r="I243" s="226">
        <f>IFERROR(INDEX(Servicios!$E:$E,MATCH($D243,Servicios!$A:$A,0)),0)</f>
        <v>28000</v>
      </c>
      <c r="J243" s="156"/>
      <c r="K243" s="226">
        <f t="shared" si="7"/>
        <v>28000</v>
      </c>
      <c r="L243" s="226">
        <f>IFERROR(K243*IFERROR(INDEX(Servicios!$G:$G,MATCH($D243,Servicios!$A:$A,0)),0),0)</f>
        <v>8400</v>
      </c>
      <c r="M243" s="226">
        <f>IFERROR(K243-L243-IFERROR(INDEX(Servicios!$F:$F,MATCH($D243,Servicios!$A:$A,0)),0),0)</f>
        <v>19160</v>
      </c>
    </row>
    <row r="244" spans="1:13" ht="15" customHeight="1" x14ac:dyDescent="0.3">
      <c r="A244" s="165">
        <v>46218</v>
      </c>
      <c r="B244" s="231" t="str">
        <f t="shared" si="6"/>
        <v>mié</v>
      </c>
      <c r="C244" s="166" t="s">
        <v>101</v>
      </c>
      <c r="D244" s="166" t="s">
        <v>128</v>
      </c>
      <c r="E244" s="231" t="str">
        <f>IFERROR(INDEX(Servicios!$B:$B,MATCH($D244,Servicios!$A:$A,0)),"")</f>
        <v>Corte caballero</v>
      </c>
      <c r="F244" s="166" t="s">
        <v>264</v>
      </c>
      <c r="G244" s="166" t="s">
        <v>41</v>
      </c>
      <c r="H244" s="230">
        <f>IFERROR(INDEX(Servicios!$D:$D,MATCH($D244,Servicios!$A:$A,0)),0)</f>
        <v>30</v>
      </c>
      <c r="I244" s="226">
        <f>IFERROR(INDEX(Servicios!$E:$E,MATCH($D244,Servicios!$A:$A,0)),0)</f>
        <v>28000</v>
      </c>
      <c r="J244" s="156"/>
      <c r="K244" s="226">
        <f t="shared" si="7"/>
        <v>28000</v>
      </c>
      <c r="L244" s="226">
        <f>IFERROR(K244*IFERROR(INDEX(Servicios!$G:$G,MATCH($D244,Servicios!$A:$A,0)),0),0)</f>
        <v>8400</v>
      </c>
      <c r="M244" s="226">
        <f>IFERROR(K244-L244-IFERROR(INDEX(Servicios!$F:$F,MATCH($D244,Servicios!$A:$A,0)),0),0)</f>
        <v>19160</v>
      </c>
    </row>
    <row r="245" spans="1:13" ht="15" customHeight="1" x14ac:dyDescent="0.3">
      <c r="A245" s="165">
        <v>46218</v>
      </c>
      <c r="B245" s="231" t="str">
        <f t="shared" si="6"/>
        <v>mié</v>
      </c>
      <c r="C245" s="166" t="s">
        <v>101</v>
      </c>
      <c r="D245" s="166" t="s">
        <v>128</v>
      </c>
      <c r="E245" s="231" t="str">
        <f>IFERROR(INDEX(Servicios!$B:$B,MATCH($D245,Servicios!$A:$A,0)),"")</f>
        <v>Corte caballero</v>
      </c>
      <c r="F245" s="166" t="s">
        <v>278</v>
      </c>
      <c r="G245" s="166" t="s">
        <v>43</v>
      </c>
      <c r="H245" s="230">
        <f>IFERROR(INDEX(Servicios!$D:$D,MATCH($D245,Servicios!$A:$A,0)),0)</f>
        <v>30</v>
      </c>
      <c r="I245" s="226">
        <f>IFERROR(INDEX(Servicios!$E:$E,MATCH($D245,Servicios!$A:$A,0)),0)</f>
        <v>28000</v>
      </c>
      <c r="J245" s="156"/>
      <c r="K245" s="226">
        <f t="shared" si="7"/>
        <v>28000</v>
      </c>
      <c r="L245" s="226">
        <f>IFERROR(K245*IFERROR(INDEX(Servicios!$G:$G,MATCH($D245,Servicios!$A:$A,0)),0),0)</f>
        <v>8400</v>
      </c>
      <c r="M245" s="226">
        <f>IFERROR(K245-L245-IFERROR(INDEX(Servicios!$F:$F,MATCH($D245,Servicios!$A:$A,0)),0),0)</f>
        <v>19160</v>
      </c>
    </row>
    <row r="246" spans="1:13" ht="15" customHeight="1" x14ac:dyDescent="0.3">
      <c r="A246" s="165">
        <v>46218</v>
      </c>
      <c r="B246" s="231" t="str">
        <f t="shared" si="6"/>
        <v>mié</v>
      </c>
      <c r="C246" s="166" t="s">
        <v>101</v>
      </c>
      <c r="D246" s="166" t="s">
        <v>144</v>
      </c>
      <c r="E246" s="231" t="str">
        <f>IFERROR(INDEX(Servicios!$B:$B,MATCH($D246,Servicios!$A:$A,0)),"")</f>
        <v>Cepillado y secado</v>
      </c>
      <c r="F246" s="166" t="s">
        <v>239</v>
      </c>
      <c r="G246" s="166" t="s">
        <v>43</v>
      </c>
      <c r="H246" s="230">
        <f>IFERROR(INDEX(Servicios!$D:$D,MATCH($D246,Servicios!$A:$A,0)),0)</f>
        <v>30</v>
      </c>
      <c r="I246" s="226">
        <f>IFERROR(INDEX(Servicios!$E:$E,MATCH($D246,Servicios!$A:$A,0)),0)</f>
        <v>38000</v>
      </c>
      <c r="J246" s="156"/>
      <c r="K246" s="226">
        <f t="shared" si="7"/>
        <v>38000</v>
      </c>
      <c r="L246" s="226">
        <f>IFERROR(K246*IFERROR(INDEX(Servicios!$G:$G,MATCH($D246,Servicios!$A:$A,0)),0),0)</f>
        <v>11400</v>
      </c>
      <c r="M246" s="226">
        <f>IFERROR(K246-L246-IFERROR(INDEX(Servicios!$F:$F,MATCH($D246,Servicios!$A:$A,0)),0),0)</f>
        <v>26600</v>
      </c>
    </row>
    <row r="247" spans="1:13" ht="15" customHeight="1" x14ac:dyDescent="0.3">
      <c r="A247" s="165">
        <v>46218</v>
      </c>
      <c r="B247" s="231" t="str">
        <f t="shared" si="6"/>
        <v>mié</v>
      </c>
      <c r="C247" s="166" t="s">
        <v>101</v>
      </c>
      <c r="D247" s="166" t="s">
        <v>128</v>
      </c>
      <c r="E247" s="231" t="str">
        <f>IFERROR(INDEX(Servicios!$B:$B,MATCH($D247,Servicios!$A:$A,0)),"")</f>
        <v>Corte caballero</v>
      </c>
      <c r="F247" s="166" t="s">
        <v>247</v>
      </c>
      <c r="G247" s="166" t="s">
        <v>41</v>
      </c>
      <c r="H247" s="230">
        <f>IFERROR(INDEX(Servicios!$D:$D,MATCH($D247,Servicios!$A:$A,0)),0)</f>
        <v>30</v>
      </c>
      <c r="I247" s="226">
        <f>IFERROR(INDEX(Servicios!$E:$E,MATCH($D247,Servicios!$A:$A,0)),0)</f>
        <v>28000</v>
      </c>
      <c r="J247" s="156"/>
      <c r="K247" s="226">
        <f t="shared" si="7"/>
        <v>28000</v>
      </c>
      <c r="L247" s="226">
        <f>IFERROR(K247*IFERROR(INDEX(Servicios!$G:$G,MATCH($D247,Servicios!$A:$A,0)),0),0)</f>
        <v>8400</v>
      </c>
      <c r="M247" s="226">
        <f>IFERROR(K247-L247-IFERROR(INDEX(Servicios!$F:$F,MATCH($D247,Servicios!$A:$A,0)),0),0)</f>
        <v>19160</v>
      </c>
    </row>
    <row r="248" spans="1:13" ht="15" customHeight="1" x14ac:dyDescent="0.3">
      <c r="A248" s="165">
        <v>46218</v>
      </c>
      <c r="B248" s="231" t="str">
        <f t="shared" si="6"/>
        <v>mié</v>
      </c>
      <c r="C248" s="166" t="s">
        <v>101</v>
      </c>
      <c r="D248" s="166" t="s">
        <v>128</v>
      </c>
      <c r="E248" s="231" t="str">
        <f>IFERROR(INDEX(Servicios!$B:$B,MATCH($D248,Servicios!$A:$A,0)),"")</f>
        <v>Corte caballero</v>
      </c>
      <c r="F248" s="166" t="s">
        <v>286</v>
      </c>
      <c r="G248" s="166" t="s">
        <v>41</v>
      </c>
      <c r="H248" s="230">
        <f>IFERROR(INDEX(Servicios!$D:$D,MATCH($D248,Servicios!$A:$A,0)),0)</f>
        <v>30</v>
      </c>
      <c r="I248" s="226">
        <f>IFERROR(INDEX(Servicios!$E:$E,MATCH($D248,Servicios!$A:$A,0)),0)</f>
        <v>28000</v>
      </c>
      <c r="J248" s="156"/>
      <c r="K248" s="226">
        <f t="shared" si="7"/>
        <v>28000</v>
      </c>
      <c r="L248" s="226">
        <f>IFERROR(K248*IFERROR(INDEX(Servicios!$G:$G,MATCH($D248,Servicios!$A:$A,0)),0),0)</f>
        <v>8400</v>
      </c>
      <c r="M248" s="226">
        <f>IFERROR(K248-L248-IFERROR(INDEX(Servicios!$F:$F,MATCH($D248,Servicios!$A:$A,0)),0),0)</f>
        <v>19160</v>
      </c>
    </row>
    <row r="249" spans="1:13" ht="15" customHeight="1" x14ac:dyDescent="0.3">
      <c r="A249" s="165">
        <v>46218</v>
      </c>
      <c r="B249" s="231" t="str">
        <f t="shared" si="6"/>
        <v>mié</v>
      </c>
      <c r="C249" s="166" t="s">
        <v>101</v>
      </c>
      <c r="D249" s="166" t="s">
        <v>125</v>
      </c>
      <c r="E249" s="231" t="str">
        <f>IFERROR(INDEX(Servicios!$B:$B,MATCH($D249,Servicios!$A:$A,0)),"")</f>
        <v>Corte dama</v>
      </c>
      <c r="F249" s="166" t="s">
        <v>223</v>
      </c>
      <c r="G249" s="166" t="s">
        <v>43</v>
      </c>
      <c r="H249" s="230">
        <f>IFERROR(INDEX(Servicios!$D:$D,MATCH($D249,Servicios!$A:$A,0)),0)</f>
        <v>45</v>
      </c>
      <c r="I249" s="226">
        <f>IFERROR(INDEX(Servicios!$E:$E,MATCH($D249,Servicios!$A:$A,0)),0)</f>
        <v>45000</v>
      </c>
      <c r="J249" s="156"/>
      <c r="K249" s="226">
        <f t="shared" si="7"/>
        <v>45000</v>
      </c>
      <c r="L249" s="226">
        <f>IFERROR(K249*IFERROR(INDEX(Servicios!$G:$G,MATCH($D249,Servicios!$A:$A,0)),0),0)</f>
        <v>13500</v>
      </c>
      <c r="M249" s="226">
        <f>IFERROR(K249-L249-IFERROR(INDEX(Servicios!$F:$F,MATCH($D249,Servicios!$A:$A,0)),0),0)</f>
        <v>30840</v>
      </c>
    </row>
    <row r="250" spans="1:13" ht="15" customHeight="1" x14ac:dyDescent="0.3">
      <c r="A250" s="165">
        <v>46218</v>
      </c>
      <c r="B250" s="231" t="str">
        <f t="shared" si="6"/>
        <v>mié</v>
      </c>
      <c r="C250" s="166" t="s">
        <v>101</v>
      </c>
      <c r="D250" s="166" t="s">
        <v>125</v>
      </c>
      <c r="E250" s="231" t="str">
        <f>IFERROR(INDEX(Servicios!$B:$B,MATCH($D250,Servicios!$A:$A,0)),"")</f>
        <v>Corte dama</v>
      </c>
      <c r="F250" s="166" t="s">
        <v>290</v>
      </c>
      <c r="G250" s="166" t="s">
        <v>41</v>
      </c>
      <c r="H250" s="230">
        <f>IFERROR(INDEX(Servicios!$D:$D,MATCH($D250,Servicios!$A:$A,0)),0)</f>
        <v>45</v>
      </c>
      <c r="I250" s="226">
        <f>IFERROR(INDEX(Servicios!$E:$E,MATCH($D250,Servicios!$A:$A,0)),0)</f>
        <v>45000</v>
      </c>
      <c r="J250" s="156"/>
      <c r="K250" s="226">
        <f t="shared" si="7"/>
        <v>45000</v>
      </c>
      <c r="L250" s="226">
        <f>IFERROR(K250*IFERROR(INDEX(Servicios!$G:$G,MATCH($D250,Servicios!$A:$A,0)),0),0)</f>
        <v>13500</v>
      </c>
      <c r="M250" s="226">
        <f>IFERROR(K250-L250-IFERROR(INDEX(Servicios!$F:$F,MATCH($D250,Servicios!$A:$A,0)),0),0)</f>
        <v>30840</v>
      </c>
    </row>
    <row r="251" spans="1:13" ht="15" customHeight="1" x14ac:dyDescent="0.3">
      <c r="A251" s="165">
        <v>46218</v>
      </c>
      <c r="B251" s="231" t="str">
        <f t="shared" si="6"/>
        <v>mié</v>
      </c>
      <c r="C251" s="166" t="s">
        <v>101</v>
      </c>
      <c r="D251" s="166" t="s">
        <v>125</v>
      </c>
      <c r="E251" s="231" t="str">
        <f>IFERROR(INDEX(Servicios!$B:$B,MATCH($D251,Servicios!$A:$A,0)),"")</f>
        <v>Corte dama</v>
      </c>
      <c r="F251" s="166" t="s">
        <v>226</v>
      </c>
      <c r="G251" s="166" t="s">
        <v>41</v>
      </c>
      <c r="H251" s="230">
        <f>IFERROR(INDEX(Servicios!$D:$D,MATCH($D251,Servicios!$A:$A,0)),0)</f>
        <v>45</v>
      </c>
      <c r="I251" s="226">
        <f>IFERROR(INDEX(Servicios!$E:$E,MATCH($D251,Servicios!$A:$A,0)),0)</f>
        <v>45000</v>
      </c>
      <c r="J251" s="156"/>
      <c r="K251" s="226">
        <f t="shared" si="7"/>
        <v>45000</v>
      </c>
      <c r="L251" s="226">
        <f>IFERROR(K251*IFERROR(INDEX(Servicios!$G:$G,MATCH($D251,Servicios!$A:$A,0)),0),0)</f>
        <v>13500</v>
      </c>
      <c r="M251" s="226">
        <f>IFERROR(K251-L251-IFERROR(INDEX(Servicios!$F:$F,MATCH($D251,Servicios!$A:$A,0)),0),0)</f>
        <v>30840</v>
      </c>
    </row>
    <row r="252" spans="1:13" ht="15" customHeight="1" x14ac:dyDescent="0.3">
      <c r="A252" s="165">
        <v>46218</v>
      </c>
      <c r="B252" s="231" t="str">
        <f t="shared" si="6"/>
        <v>mié</v>
      </c>
      <c r="C252" s="166" t="s">
        <v>104</v>
      </c>
      <c r="D252" s="166" t="s">
        <v>130</v>
      </c>
      <c r="E252" s="231" t="str">
        <f>IFERROR(INDEX(Servicios!$B:$B,MATCH($D252,Servicios!$A:$A,0)),"")</f>
        <v>Coloración raíz</v>
      </c>
      <c r="F252" s="166" t="s">
        <v>237</v>
      </c>
      <c r="G252" s="166" t="s">
        <v>41</v>
      </c>
      <c r="H252" s="230">
        <f>IFERROR(INDEX(Servicios!$D:$D,MATCH($D252,Servicios!$A:$A,0)),0)</f>
        <v>90</v>
      </c>
      <c r="I252" s="226">
        <f>IFERROR(INDEX(Servicios!$E:$E,MATCH($D252,Servicios!$A:$A,0)),0)</f>
        <v>120000</v>
      </c>
      <c r="J252" s="156"/>
      <c r="K252" s="226">
        <f t="shared" si="7"/>
        <v>120000</v>
      </c>
      <c r="L252" s="226">
        <f>IFERROR(K252*IFERROR(INDEX(Servicios!$G:$G,MATCH($D252,Servicios!$A:$A,0)),0),0)</f>
        <v>42000</v>
      </c>
      <c r="M252" s="226">
        <f>IFERROR(K252-L252-IFERROR(INDEX(Servicios!$F:$F,MATCH($D252,Servicios!$A:$A,0)),0),0)</f>
        <v>72645</v>
      </c>
    </row>
    <row r="253" spans="1:13" ht="15" customHeight="1" x14ac:dyDescent="0.3">
      <c r="A253" s="165">
        <v>46218</v>
      </c>
      <c r="B253" s="231" t="str">
        <f t="shared" si="6"/>
        <v>mié</v>
      </c>
      <c r="C253" s="166" t="s">
        <v>104</v>
      </c>
      <c r="D253" s="166" t="s">
        <v>133</v>
      </c>
      <c r="E253" s="231" t="str">
        <f>IFERROR(INDEX(Servicios!$B:$B,MATCH($D253,Servicios!$A:$A,0)),"")</f>
        <v>Mechas / balayage</v>
      </c>
      <c r="F253" s="166" t="s">
        <v>291</v>
      </c>
      <c r="G253" s="166" t="s">
        <v>41</v>
      </c>
      <c r="H253" s="230">
        <f>IFERROR(INDEX(Servicios!$D:$D,MATCH($D253,Servicios!$A:$A,0)),0)</f>
        <v>180</v>
      </c>
      <c r="I253" s="226">
        <f>IFERROR(INDEX(Servicios!$E:$E,MATCH($D253,Servicios!$A:$A,0)),0)</f>
        <v>320000</v>
      </c>
      <c r="J253" s="156"/>
      <c r="K253" s="226">
        <f t="shared" si="7"/>
        <v>320000</v>
      </c>
      <c r="L253" s="226">
        <f>IFERROR(K253*IFERROR(INDEX(Servicios!$G:$G,MATCH($D253,Servicios!$A:$A,0)),0),0)</f>
        <v>112000</v>
      </c>
      <c r="M253" s="226">
        <f>IFERROR(K253-L253-IFERROR(INDEX(Servicios!$F:$F,MATCH($D253,Servicios!$A:$A,0)),0),0)</f>
        <v>196240</v>
      </c>
    </row>
    <row r="254" spans="1:13" ht="15" customHeight="1" x14ac:dyDescent="0.3">
      <c r="A254" s="165">
        <v>46218</v>
      </c>
      <c r="B254" s="231" t="str">
        <f t="shared" si="6"/>
        <v>mié</v>
      </c>
      <c r="C254" s="166" t="s">
        <v>107</v>
      </c>
      <c r="D254" s="166" t="s">
        <v>138</v>
      </c>
      <c r="E254" s="231" t="str">
        <f>IFERROR(INDEX(Servicios!$B:$B,MATCH($D254,Servicios!$A:$A,0)),"")</f>
        <v>Manicure</v>
      </c>
      <c r="F254" s="166" t="s">
        <v>286</v>
      </c>
      <c r="G254" s="166" t="s">
        <v>41</v>
      </c>
      <c r="H254" s="230">
        <f>IFERROR(INDEX(Servicios!$D:$D,MATCH($D254,Servicios!$A:$A,0)),0)</f>
        <v>45</v>
      </c>
      <c r="I254" s="226">
        <f>IFERROR(INDEX(Servicios!$E:$E,MATCH($D254,Servicios!$A:$A,0)),0)</f>
        <v>35000</v>
      </c>
      <c r="J254" s="156"/>
      <c r="K254" s="226">
        <f t="shared" si="7"/>
        <v>35000</v>
      </c>
      <c r="L254" s="226">
        <f>IFERROR(K254*IFERROR(INDEX(Servicios!$G:$G,MATCH($D254,Servicios!$A:$A,0)),0),0)</f>
        <v>8750</v>
      </c>
      <c r="M254" s="226">
        <f>IFERROR(K254-L254-IFERROR(INDEX(Servicios!$F:$F,MATCH($D254,Servicios!$A:$A,0)),0),0)</f>
        <v>25740</v>
      </c>
    </row>
    <row r="255" spans="1:13" ht="15" customHeight="1" x14ac:dyDescent="0.3">
      <c r="A255" s="165">
        <v>46218</v>
      </c>
      <c r="B255" s="231" t="str">
        <f t="shared" si="6"/>
        <v>mié</v>
      </c>
      <c r="C255" s="166" t="s">
        <v>107</v>
      </c>
      <c r="D255" s="166" t="s">
        <v>138</v>
      </c>
      <c r="E255" s="231" t="str">
        <f>IFERROR(INDEX(Servicios!$B:$B,MATCH($D255,Servicios!$A:$A,0)),"")</f>
        <v>Manicure</v>
      </c>
      <c r="F255" s="166" t="s">
        <v>273</v>
      </c>
      <c r="G255" s="166" t="s">
        <v>43</v>
      </c>
      <c r="H255" s="230">
        <f>IFERROR(INDEX(Servicios!$D:$D,MATCH($D255,Servicios!$A:$A,0)),0)</f>
        <v>45</v>
      </c>
      <c r="I255" s="226">
        <f>IFERROR(INDEX(Servicios!$E:$E,MATCH($D255,Servicios!$A:$A,0)),0)</f>
        <v>35000</v>
      </c>
      <c r="J255" s="156"/>
      <c r="K255" s="226">
        <f t="shared" si="7"/>
        <v>35000</v>
      </c>
      <c r="L255" s="226">
        <f>IFERROR(K255*IFERROR(INDEX(Servicios!$G:$G,MATCH($D255,Servicios!$A:$A,0)),0),0)</f>
        <v>8750</v>
      </c>
      <c r="M255" s="226">
        <f>IFERROR(K255-L255-IFERROR(INDEX(Servicios!$F:$F,MATCH($D255,Servicios!$A:$A,0)),0),0)</f>
        <v>25740</v>
      </c>
    </row>
    <row r="256" spans="1:13" ht="15" customHeight="1" x14ac:dyDescent="0.3">
      <c r="A256" s="165">
        <v>46218</v>
      </c>
      <c r="B256" s="231" t="str">
        <f t="shared" si="6"/>
        <v>mié</v>
      </c>
      <c r="C256" s="166" t="s">
        <v>107</v>
      </c>
      <c r="D256" s="166" t="s">
        <v>138</v>
      </c>
      <c r="E256" s="231" t="str">
        <f>IFERROR(INDEX(Servicios!$B:$B,MATCH($D256,Servicios!$A:$A,0)),"")</f>
        <v>Manicure</v>
      </c>
      <c r="F256" s="166" t="s">
        <v>241</v>
      </c>
      <c r="G256" s="166" t="s">
        <v>41</v>
      </c>
      <c r="H256" s="230">
        <f>IFERROR(INDEX(Servicios!$D:$D,MATCH($D256,Servicios!$A:$A,0)),0)</f>
        <v>45</v>
      </c>
      <c r="I256" s="226">
        <f>IFERROR(INDEX(Servicios!$E:$E,MATCH($D256,Servicios!$A:$A,0)),0)</f>
        <v>35000</v>
      </c>
      <c r="J256" s="156"/>
      <c r="K256" s="226">
        <f t="shared" si="7"/>
        <v>35000</v>
      </c>
      <c r="L256" s="226">
        <f>IFERROR(K256*IFERROR(INDEX(Servicios!$G:$G,MATCH($D256,Servicios!$A:$A,0)),0),0)</f>
        <v>8750</v>
      </c>
      <c r="M256" s="226">
        <f>IFERROR(K256-L256-IFERROR(INDEX(Servicios!$F:$F,MATCH($D256,Servicios!$A:$A,0)),0),0)</f>
        <v>25740</v>
      </c>
    </row>
    <row r="257" spans="1:13" ht="15" customHeight="1" x14ac:dyDescent="0.3">
      <c r="A257" s="165">
        <v>46218</v>
      </c>
      <c r="B257" s="231" t="str">
        <f t="shared" si="6"/>
        <v>mié</v>
      </c>
      <c r="C257" s="166" t="s">
        <v>107</v>
      </c>
      <c r="D257" s="166" t="s">
        <v>138</v>
      </c>
      <c r="E257" s="231" t="str">
        <f>IFERROR(INDEX(Servicios!$B:$B,MATCH($D257,Servicios!$A:$A,0)),"")</f>
        <v>Manicure</v>
      </c>
      <c r="F257" s="166" t="s">
        <v>254</v>
      </c>
      <c r="G257" s="166" t="s">
        <v>43</v>
      </c>
      <c r="H257" s="230">
        <f>IFERROR(INDEX(Servicios!$D:$D,MATCH($D257,Servicios!$A:$A,0)),0)</f>
        <v>45</v>
      </c>
      <c r="I257" s="226">
        <f>IFERROR(INDEX(Servicios!$E:$E,MATCH($D257,Servicios!$A:$A,0)),0)</f>
        <v>35000</v>
      </c>
      <c r="J257" s="156"/>
      <c r="K257" s="226">
        <f t="shared" si="7"/>
        <v>35000</v>
      </c>
      <c r="L257" s="226">
        <f>IFERROR(K257*IFERROR(INDEX(Servicios!$G:$G,MATCH($D257,Servicios!$A:$A,0)),0),0)</f>
        <v>8750</v>
      </c>
      <c r="M257" s="226">
        <f>IFERROR(K257-L257-IFERROR(INDEX(Servicios!$F:$F,MATCH($D257,Servicios!$A:$A,0)),0),0)</f>
        <v>25740</v>
      </c>
    </row>
    <row r="258" spans="1:13" ht="15" customHeight="1" x14ac:dyDescent="0.3">
      <c r="A258" s="165">
        <v>46218</v>
      </c>
      <c r="B258" s="231" t="str">
        <f t="shared" si="6"/>
        <v>mié</v>
      </c>
      <c r="C258" s="166" t="s">
        <v>107</v>
      </c>
      <c r="D258" s="166" t="s">
        <v>138</v>
      </c>
      <c r="E258" s="231" t="str">
        <f>IFERROR(INDEX(Servicios!$B:$B,MATCH($D258,Servicios!$A:$A,0)),"")</f>
        <v>Manicure</v>
      </c>
      <c r="F258" s="166" t="s">
        <v>292</v>
      </c>
      <c r="G258" s="166" t="s">
        <v>41</v>
      </c>
      <c r="H258" s="230">
        <f>IFERROR(INDEX(Servicios!$D:$D,MATCH($D258,Servicios!$A:$A,0)),0)</f>
        <v>45</v>
      </c>
      <c r="I258" s="226">
        <f>IFERROR(INDEX(Servicios!$E:$E,MATCH($D258,Servicios!$A:$A,0)),0)</f>
        <v>35000</v>
      </c>
      <c r="J258" s="156"/>
      <c r="K258" s="226">
        <f t="shared" si="7"/>
        <v>35000</v>
      </c>
      <c r="L258" s="226">
        <f>IFERROR(K258*IFERROR(INDEX(Servicios!$G:$G,MATCH($D258,Servicios!$A:$A,0)),0),0)</f>
        <v>8750</v>
      </c>
      <c r="M258" s="226">
        <f>IFERROR(K258-L258-IFERROR(INDEX(Servicios!$F:$F,MATCH($D258,Servicios!$A:$A,0)),0),0)</f>
        <v>25740</v>
      </c>
    </row>
    <row r="259" spans="1:13" ht="15" customHeight="1" x14ac:dyDescent="0.3">
      <c r="A259" s="165">
        <v>46218</v>
      </c>
      <c r="B259" s="231" t="str">
        <f t="shared" si="6"/>
        <v>mié</v>
      </c>
      <c r="C259" s="166" t="s">
        <v>107</v>
      </c>
      <c r="D259" s="166" t="s">
        <v>138</v>
      </c>
      <c r="E259" s="231" t="str">
        <f>IFERROR(INDEX(Servicios!$B:$B,MATCH($D259,Servicios!$A:$A,0)),"")</f>
        <v>Manicure</v>
      </c>
      <c r="F259" s="166" t="s">
        <v>272</v>
      </c>
      <c r="G259" s="166" t="s">
        <v>41</v>
      </c>
      <c r="H259" s="230">
        <f>IFERROR(INDEX(Servicios!$D:$D,MATCH($D259,Servicios!$A:$A,0)),0)</f>
        <v>45</v>
      </c>
      <c r="I259" s="226">
        <f>IFERROR(INDEX(Servicios!$E:$E,MATCH($D259,Servicios!$A:$A,0)),0)</f>
        <v>35000</v>
      </c>
      <c r="J259" s="156"/>
      <c r="K259" s="226">
        <f t="shared" si="7"/>
        <v>35000</v>
      </c>
      <c r="L259" s="226">
        <f>IFERROR(K259*IFERROR(INDEX(Servicios!$G:$G,MATCH($D259,Servicios!$A:$A,0)),0),0)</f>
        <v>8750</v>
      </c>
      <c r="M259" s="226">
        <f>IFERROR(K259-L259-IFERROR(INDEX(Servicios!$F:$F,MATCH($D259,Servicios!$A:$A,0)),0),0)</f>
        <v>25740</v>
      </c>
    </row>
    <row r="260" spans="1:13" ht="15" customHeight="1" x14ac:dyDescent="0.3">
      <c r="A260" s="165">
        <v>46219</v>
      </c>
      <c r="B260" s="231" t="str">
        <f t="shared" si="6"/>
        <v>jue</v>
      </c>
      <c r="C260" s="166" t="s">
        <v>98</v>
      </c>
      <c r="D260" s="166" t="s">
        <v>125</v>
      </c>
      <c r="E260" s="231" t="str">
        <f>IFERROR(INDEX(Servicios!$B:$B,MATCH($D260,Servicios!$A:$A,0)),"")</f>
        <v>Corte dama</v>
      </c>
      <c r="F260" s="166" t="s">
        <v>289</v>
      </c>
      <c r="G260" s="166" t="s">
        <v>43</v>
      </c>
      <c r="H260" s="230">
        <f>IFERROR(INDEX(Servicios!$D:$D,MATCH($D260,Servicios!$A:$A,0)),0)</f>
        <v>45</v>
      </c>
      <c r="I260" s="226">
        <f>IFERROR(INDEX(Servicios!$E:$E,MATCH($D260,Servicios!$A:$A,0)),0)</f>
        <v>45000</v>
      </c>
      <c r="J260" s="156"/>
      <c r="K260" s="226">
        <f t="shared" si="7"/>
        <v>45000</v>
      </c>
      <c r="L260" s="226">
        <f>IFERROR(K260*IFERROR(INDEX(Servicios!$G:$G,MATCH($D260,Servicios!$A:$A,0)),0),0)</f>
        <v>13500</v>
      </c>
      <c r="M260" s="226">
        <f>IFERROR(K260-L260-IFERROR(INDEX(Servicios!$F:$F,MATCH($D260,Servicios!$A:$A,0)),0),0)</f>
        <v>30840</v>
      </c>
    </row>
    <row r="261" spans="1:13" ht="15" customHeight="1" x14ac:dyDescent="0.3">
      <c r="A261" s="165">
        <v>46219</v>
      </c>
      <c r="B261" s="231" t="str">
        <f t="shared" ref="B261:B324" si="8">IF($A261="","",CHOOSE(WEEKDAY($A261,2),"lun","mar","mié","jue","vie","sáb","dom"))</f>
        <v>jue</v>
      </c>
      <c r="C261" s="166" t="s">
        <v>98</v>
      </c>
      <c r="D261" s="166" t="s">
        <v>128</v>
      </c>
      <c r="E261" s="231" t="str">
        <f>IFERROR(INDEX(Servicios!$B:$B,MATCH($D261,Servicios!$A:$A,0)),"")</f>
        <v>Corte caballero</v>
      </c>
      <c r="F261" s="166" t="s">
        <v>239</v>
      </c>
      <c r="G261" s="166" t="s">
        <v>41</v>
      </c>
      <c r="H261" s="230">
        <f>IFERROR(INDEX(Servicios!$D:$D,MATCH($D261,Servicios!$A:$A,0)),0)</f>
        <v>30</v>
      </c>
      <c r="I261" s="226">
        <f>IFERROR(INDEX(Servicios!$E:$E,MATCH($D261,Servicios!$A:$A,0)),0)</f>
        <v>28000</v>
      </c>
      <c r="J261" s="156"/>
      <c r="K261" s="226">
        <f t="shared" ref="K261:K324" si="9">IFERROR(I261*(1-N(J261)),0)</f>
        <v>28000</v>
      </c>
      <c r="L261" s="226">
        <f>IFERROR(K261*IFERROR(INDEX(Servicios!$G:$G,MATCH($D261,Servicios!$A:$A,0)),0),0)</f>
        <v>8400</v>
      </c>
      <c r="M261" s="226">
        <f>IFERROR(K261-L261-IFERROR(INDEX(Servicios!$F:$F,MATCH($D261,Servicios!$A:$A,0)),0),0)</f>
        <v>19160</v>
      </c>
    </row>
    <row r="262" spans="1:13" ht="15" customHeight="1" x14ac:dyDescent="0.3">
      <c r="A262" s="165">
        <v>46219</v>
      </c>
      <c r="B262" s="231" t="str">
        <f t="shared" si="8"/>
        <v>jue</v>
      </c>
      <c r="C262" s="166" t="s">
        <v>98</v>
      </c>
      <c r="D262" s="166" t="s">
        <v>125</v>
      </c>
      <c r="E262" s="231" t="str">
        <f>IFERROR(INDEX(Servicios!$B:$B,MATCH($D262,Servicios!$A:$A,0)),"")</f>
        <v>Corte dama</v>
      </c>
      <c r="F262" s="166" t="s">
        <v>276</v>
      </c>
      <c r="G262" s="166" t="s">
        <v>43</v>
      </c>
      <c r="H262" s="230">
        <f>IFERROR(INDEX(Servicios!$D:$D,MATCH($D262,Servicios!$A:$A,0)),0)</f>
        <v>45</v>
      </c>
      <c r="I262" s="226">
        <f>IFERROR(INDEX(Servicios!$E:$E,MATCH($D262,Servicios!$A:$A,0)),0)</f>
        <v>45000</v>
      </c>
      <c r="J262" s="156"/>
      <c r="K262" s="226">
        <f t="shared" si="9"/>
        <v>45000</v>
      </c>
      <c r="L262" s="226">
        <f>IFERROR(K262*IFERROR(INDEX(Servicios!$G:$G,MATCH($D262,Servicios!$A:$A,0)),0),0)</f>
        <v>13500</v>
      </c>
      <c r="M262" s="226">
        <f>IFERROR(K262-L262-IFERROR(INDEX(Servicios!$F:$F,MATCH($D262,Servicios!$A:$A,0)),0),0)</f>
        <v>30840</v>
      </c>
    </row>
    <row r="263" spans="1:13" ht="15" customHeight="1" x14ac:dyDescent="0.3">
      <c r="A263" s="165">
        <v>46219</v>
      </c>
      <c r="B263" s="231" t="str">
        <f t="shared" si="8"/>
        <v>jue</v>
      </c>
      <c r="C263" s="166" t="s">
        <v>98</v>
      </c>
      <c r="D263" s="166" t="s">
        <v>128</v>
      </c>
      <c r="E263" s="231" t="str">
        <f>IFERROR(INDEX(Servicios!$B:$B,MATCH($D263,Servicios!$A:$A,0)),"")</f>
        <v>Corte caballero</v>
      </c>
      <c r="F263" s="166" t="s">
        <v>245</v>
      </c>
      <c r="G263" s="166" t="s">
        <v>43</v>
      </c>
      <c r="H263" s="230">
        <f>IFERROR(INDEX(Servicios!$D:$D,MATCH($D263,Servicios!$A:$A,0)),0)</f>
        <v>30</v>
      </c>
      <c r="I263" s="226">
        <f>IFERROR(INDEX(Servicios!$E:$E,MATCH($D263,Servicios!$A:$A,0)),0)</f>
        <v>28000</v>
      </c>
      <c r="J263" s="156"/>
      <c r="K263" s="226">
        <f t="shared" si="9"/>
        <v>28000</v>
      </c>
      <c r="L263" s="226">
        <f>IFERROR(K263*IFERROR(INDEX(Servicios!$G:$G,MATCH($D263,Servicios!$A:$A,0)),0),0)</f>
        <v>8400</v>
      </c>
      <c r="M263" s="226">
        <f>IFERROR(K263-L263-IFERROR(INDEX(Servicios!$F:$F,MATCH($D263,Servicios!$A:$A,0)),0),0)</f>
        <v>19160</v>
      </c>
    </row>
    <row r="264" spans="1:13" ht="15" customHeight="1" x14ac:dyDescent="0.3">
      <c r="A264" s="165">
        <v>46219</v>
      </c>
      <c r="B264" s="231" t="str">
        <f t="shared" si="8"/>
        <v>jue</v>
      </c>
      <c r="C264" s="166" t="s">
        <v>98</v>
      </c>
      <c r="D264" s="166" t="s">
        <v>141</v>
      </c>
      <c r="E264" s="231" t="str">
        <f>IFERROR(INDEX(Servicios!$B:$B,MATCH($D264,Servicios!$A:$A,0)),"")</f>
        <v>Peinado / brushing</v>
      </c>
      <c r="F264" s="166" t="s">
        <v>287</v>
      </c>
      <c r="G264" s="166" t="s">
        <v>41</v>
      </c>
      <c r="H264" s="230">
        <f>IFERROR(INDEX(Servicios!$D:$D,MATCH($D264,Servicios!$A:$A,0)),0)</f>
        <v>40</v>
      </c>
      <c r="I264" s="226">
        <f>IFERROR(INDEX(Servicios!$E:$E,MATCH($D264,Servicios!$A:$A,0)),0)</f>
        <v>55000</v>
      </c>
      <c r="J264" s="156"/>
      <c r="K264" s="226">
        <f t="shared" si="9"/>
        <v>55000</v>
      </c>
      <c r="L264" s="226">
        <f>IFERROR(K264*IFERROR(INDEX(Servicios!$G:$G,MATCH($D264,Servicios!$A:$A,0)),0),0)</f>
        <v>16500</v>
      </c>
      <c r="M264" s="226">
        <f>IFERROR(K264-L264-IFERROR(INDEX(Servicios!$F:$F,MATCH($D264,Servicios!$A:$A,0)),0),0)</f>
        <v>38500</v>
      </c>
    </row>
    <row r="265" spans="1:13" ht="15" customHeight="1" x14ac:dyDescent="0.3">
      <c r="A265" s="165">
        <v>46219</v>
      </c>
      <c r="B265" s="231" t="str">
        <f t="shared" si="8"/>
        <v>jue</v>
      </c>
      <c r="C265" s="166" t="s">
        <v>98</v>
      </c>
      <c r="D265" s="166" t="s">
        <v>125</v>
      </c>
      <c r="E265" s="231" t="str">
        <f>IFERROR(INDEX(Servicios!$B:$B,MATCH($D265,Servicios!$A:$A,0)),"")</f>
        <v>Corte dama</v>
      </c>
      <c r="F265" s="166" t="s">
        <v>243</v>
      </c>
      <c r="G265" s="166" t="s">
        <v>43</v>
      </c>
      <c r="H265" s="230">
        <f>IFERROR(INDEX(Servicios!$D:$D,MATCH($D265,Servicios!$A:$A,0)),0)</f>
        <v>45</v>
      </c>
      <c r="I265" s="226">
        <f>IFERROR(INDEX(Servicios!$E:$E,MATCH($D265,Servicios!$A:$A,0)),0)</f>
        <v>45000</v>
      </c>
      <c r="J265" s="156"/>
      <c r="K265" s="226">
        <f t="shared" si="9"/>
        <v>45000</v>
      </c>
      <c r="L265" s="226">
        <f>IFERROR(K265*IFERROR(INDEX(Servicios!$G:$G,MATCH($D265,Servicios!$A:$A,0)),0),0)</f>
        <v>13500</v>
      </c>
      <c r="M265" s="226">
        <f>IFERROR(K265-L265-IFERROR(INDEX(Servicios!$F:$F,MATCH($D265,Servicios!$A:$A,0)),0),0)</f>
        <v>30840</v>
      </c>
    </row>
    <row r="266" spans="1:13" ht="15" customHeight="1" x14ac:dyDescent="0.3">
      <c r="A266" s="165">
        <v>46219</v>
      </c>
      <c r="B266" s="231" t="str">
        <f t="shared" si="8"/>
        <v>jue</v>
      </c>
      <c r="C266" s="166" t="s">
        <v>98</v>
      </c>
      <c r="D266" s="166" t="s">
        <v>125</v>
      </c>
      <c r="E266" s="231" t="str">
        <f>IFERROR(INDEX(Servicios!$B:$B,MATCH($D266,Servicios!$A:$A,0)),"")</f>
        <v>Corte dama</v>
      </c>
      <c r="F266" s="166" t="s">
        <v>237</v>
      </c>
      <c r="G266" s="166" t="s">
        <v>41</v>
      </c>
      <c r="H266" s="230">
        <f>IFERROR(INDEX(Servicios!$D:$D,MATCH($D266,Servicios!$A:$A,0)),0)</f>
        <v>45</v>
      </c>
      <c r="I266" s="226">
        <f>IFERROR(INDEX(Servicios!$E:$E,MATCH($D266,Servicios!$A:$A,0)),0)</f>
        <v>45000</v>
      </c>
      <c r="J266" s="156"/>
      <c r="K266" s="226">
        <f t="shared" si="9"/>
        <v>45000</v>
      </c>
      <c r="L266" s="226">
        <f>IFERROR(K266*IFERROR(INDEX(Servicios!$G:$G,MATCH($D266,Servicios!$A:$A,0)),0),0)</f>
        <v>13500</v>
      </c>
      <c r="M266" s="226">
        <f>IFERROR(K266-L266-IFERROR(INDEX(Servicios!$F:$F,MATCH($D266,Servicios!$A:$A,0)),0),0)</f>
        <v>30840</v>
      </c>
    </row>
    <row r="267" spans="1:13" ht="15" customHeight="1" x14ac:dyDescent="0.3">
      <c r="A267" s="165">
        <v>46219</v>
      </c>
      <c r="B267" s="231" t="str">
        <f t="shared" si="8"/>
        <v>jue</v>
      </c>
      <c r="C267" s="166" t="s">
        <v>98</v>
      </c>
      <c r="D267" s="166" t="s">
        <v>125</v>
      </c>
      <c r="E267" s="231" t="str">
        <f>IFERROR(INDEX(Servicios!$B:$B,MATCH($D267,Servicios!$A:$A,0)),"")</f>
        <v>Corte dama</v>
      </c>
      <c r="F267" s="166" t="s">
        <v>244</v>
      </c>
      <c r="G267" s="166" t="s">
        <v>41</v>
      </c>
      <c r="H267" s="230">
        <f>IFERROR(INDEX(Servicios!$D:$D,MATCH($D267,Servicios!$A:$A,0)),0)</f>
        <v>45</v>
      </c>
      <c r="I267" s="226">
        <f>IFERROR(INDEX(Servicios!$E:$E,MATCH($D267,Servicios!$A:$A,0)),0)</f>
        <v>45000</v>
      </c>
      <c r="J267" s="156"/>
      <c r="K267" s="226">
        <f t="shared" si="9"/>
        <v>45000</v>
      </c>
      <c r="L267" s="226">
        <f>IFERROR(K267*IFERROR(INDEX(Servicios!$G:$G,MATCH($D267,Servicios!$A:$A,0)),0),0)</f>
        <v>13500</v>
      </c>
      <c r="M267" s="226">
        <f>IFERROR(K267-L267-IFERROR(INDEX(Servicios!$F:$F,MATCH($D267,Servicios!$A:$A,0)),0),0)</f>
        <v>30840</v>
      </c>
    </row>
    <row r="268" spans="1:13" ht="15" customHeight="1" x14ac:dyDescent="0.3">
      <c r="A268" s="165">
        <v>46219</v>
      </c>
      <c r="B268" s="231" t="str">
        <f t="shared" si="8"/>
        <v>jue</v>
      </c>
      <c r="C268" s="166" t="s">
        <v>98</v>
      </c>
      <c r="D268" s="166" t="s">
        <v>141</v>
      </c>
      <c r="E268" s="231" t="str">
        <f>IFERROR(INDEX(Servicios!$B:$B,MATCH($D268,Servicios!$A:$A,0)),"")</f>
        <v>Peinado / brushing</v>
      </c>
      <c r="F268" s="166" t="s">
        <v>270</v>
      </c>
      <c r="G268" s="166" t="s">
        <v>41</v>
      </c>
      <c r="H268" s="230">
        <f>IFERROR(INDEX(Servicios!$D:$D,MATCH($D268,Servicios!$A:$A,0)),0)</f>
        <v>40</v>
      </c>
      <c r="I268" s="226">
        <f>IFERROR(INDEX(Servicios!$E:$E,MATCH($D268,Servicios!$A:$A,0)),0)</f>
        <v>55000</v>
      </c>
      <c r="J268" s="156"/>
      <c r="K268" s="226">
        <f t="shared" si="9"/>
        <v>55000</v>
      </c>
      <c r="L268" s="226">
        <f>IFERROR(K268*IFERROR(INDEX(Servicios!$G:$G,MATCH($D268,Servicios!$A:$A,0)),0),0)</f>
        <v>16500</v>
      </c>
      <c r="M268" s="226">
        <f>IFERROR(K268-L268-IFERROR(INDEX(Servicios!$F:$F,MATCH($D268,Servicios!$A:$A,0)),0),0)</f>
        <v>38500</v>
      </c>
    </row>
    <row r="269" spans="1:13" ht="15" customHeight="1" x14ac:dyDescent="0.3">
      <c r="A269" s="165">
        <v>46219</v>
      </c>
      <c r="B269" s="231" t="str">
        <f t="shared" si="8"/>
        <v>jue</v>
      </c>
      <c r="C269" s="166" t="s">
        <v>101</v>
      </c>
      <c r="D269" s="166" t="s">
        <v>125</v>
      </c>
      <c r="E269" s="231" t="str">
        <f>IFERROR(INDEX(Servicios!$B:$B,MATCH($D269,Servicios!$A:$A,0)),"")</f>
        <v>Corte dama</v>
      </c>
      <c r="F269" s="166" t="s">
        <v>254</v>
      </c>
      <c r="G269" s="166" t="s">
        <v>43</v>
      </c>
      <c r="H269" s="230">
        <f>IFERROR(INDEX(Servicios!$D:$D,MATCH($D269,Servicios!$A:$A,0)),0)</f>
        <v>45</v>
      </c>
      <c r="I269" s="226">
        <f>IFERROR(INDEX(Servicios!$E:$E,MATCH($D269,Servicios!$A:$A,0)),0)</f>
        <v>45000</v>
      </c>
      <c r="J269" s="156"/>
      <c r="K269" s="226">
        <f t="shared" si="9"/>
        <v>45000</v>
      </c>
      <c r="L269" s="226">
        <f>IFERROR(K269*IFERROR(INDEX(Servicios!$G:$G,MATCH($D269,Servicios!$A:$A,0)),0),0)</f>
        <v>13500</v>
      </c>
      <c r="M269" s="226">
        <f>IFERROR(K269-L269-IFERROR(INDEX(Servicios!$F:$F,MATCH($D269,Servicios!$A:$A,0)),0),0)</f>
        <v>30840</v>
      </c>
    </row>
    <row r="270" spans="1:13" ht="15" customHeight="1" x14ac:dyDescent="0.3">
      <c r="A270" s="165">
        <v>46219</v>
      </c>
      <c r="B270" s="231" t="str">
        <f t="shared" si="8"/>
        <v>jue</v>
      </c>
      <c r="C270" s="166" t="s">
        <v>101</v>
      </c>
      <c r="D270" s="166" t="s">
        <v>125</v>
      </c>
      <c r="E270" s="231" t="str">
        <f>IFERROR(INDEX(Servicios!$B:$B,MATCH($D270,Servicios!$A:$A,0)),"")</f>
        <v>Corte dama</v>
      </c>
      <c r="F270" s="166" t="s">
        <v>265</v>
      </c>
      <c r="G270" s="166" t="s">
        <v>41</v>
      </c>
      <c r="H270" s="230">
        <f>IFERROR(INDEX(Servicios!$D:$D,MATCH($D270,Servicios!$A:$A,0)),0)</f>
        <v>45</v>
      </c>
      <c r="I270" s="226">
        <f>IFERROR(INDEX(Servicios!$E:$E,MATCH($D270,Servicios!$A:$A,0)),0)</f>
        <v>45000</v>
      </c>
      <c r="J270" s="156"/>
      <c r="K270" s="226">
        <f t="shared" si="9"/>
        <v>45000</v>
      </c>
      <c r="L270" s="226">
        <f>IFERROR(K270*IFERROR(INDEX(Servicios!$G:$G,MATCH($D270,Servicios!$A:$A,0)),0),0)</f>
        <v>13500</v>
      </c>
      <c r="M270" s="226">
        <f>IFERROR(K270-L270-IFERROR(INDEX(Servicios!$F:$F,MATCH($D270,Servicios!$A:$A,0)),0),0)</f>
        <v>30840</v>
      </c>
    </row>
    <row r="271" spans="1:13" ht="15" customHeight="1" x14ac:dyDescent="0.3">
      <c r="A271" s="165">
        <v>46219</v>
      </c>
      <c r="B271" s="231" t="str">
        <f t="shared" si="8"/>
        <v>jue</v>
      </c>
      <c r="C271" s="166" t="s">
        <v>101</v>
      </c>
      <c r="D271" s="166" t="s">
        <v>144</v>
      </c>
      <c r="E271" s="231" t="str">
        <f>IFERROR(INDEX(Servicios!$B:$B,MATCH($D271,Servicios!$A:$A,0)),"")</f>
        <v>Cepillado y secado</v>
      </c>
      <c r="F271" s="166" t="s">
        <v>264</v>
      </c>
      <c r="G271" s="166" t="s">
        <v>43</v>
      </c>
      <c r="H271" s="230">
        <f>IFERROR(INDEX(Servicios!$D:$D,MATCH($D271,Servicios!$A:$A,0)),0)</f>
        <v>30</v>
      </c>
      <c r="I271" s="226">
        <f>IFERROR(INDEX(Servicios!$E:$E,MATCH($D271,Servicios!$A:$A,0)),0)</f>
        <v>38000</v>
      </c>
      <c r="J271" s="156"/>
      <c r="K271" s="226">
        <f t="shared" si="9"/>
        <v>38000</v>
      </c>
      <c r="L271" s="226">
        <f>IFERROR(K271*IFERROR(INDEX(Servicios!$G:$G,MATCH($D271,Servicios!$A:$A,0)),0),0)</f>
        <v>11400</v>
      </c>
      <c r="M271" s="226">
        <f>IFERROR(K271-L271-IFERROR(INDEX(Servicios!$F:$F,MATCH($D271,Servicios!$A:$A,0)),0),0)</f>
        <v>26600</v>
      </c>
    </row>
    <row r="272" spans="1:13" ht="15" customHeight="1" x14ac:dyDescent="0.3">
      <c r="A272" s="165">
        <v>46219</v>
      </c>
      <c r="B272" s="231" t="str">
        <f t="shared" si="8"/>
        <v>jue</v>
      </c>
      <c r="C272" s="166" t="s">
        <v>101</v>
      </c>
      <c r="D272" s="166" t="s">
        <v>128</v>
      </c>
      <c r="E272" s="231" t="str">
        <f>IFERROR(INDEX(Servicios!$B:$B,MATCH($D272,Servicios!$A:$A,0)),"")</f>
        <v>Corte caballero</v>
      </c>
      <c r="F272" s="166" t="s">
        <v>291</v>
      </c>
      <c r="G272" s="166" t="s">
        <v>41</v>
      </c>
      <c r="H272" s="230">
        <f>IFERROR(INDEX(Servicios!$D:$D,MATCH($D272,Servicios!$A:$A,0)),0)</f>
        <v>30</v>
      </c>
      <c r="I272" s="226">
        <f>IFERROR(INDEX(Servicios!$E:$E,MATCH($D272,Servicios!$A:$A,0)),0)</f>
        <v>28000</v>
      </c>
      <c r="J272" s="156"/>
      <c r="K272" s="226">
        <f t="shared" si="9"/>
        <v>28000</v>
      </c>
      <c r="L272" s="226">
        <f>IFERROR(K272*IFERROR(INDEX(Servicios!$G:$G,MATCH($D272,Servicios!$A:$A,0)),0),0)</f>
        <v>8400</v>
      </c>
      <c r="M272" s="226">
        <f>IFERROR(K272-L272-IFERROR(INDEX(Servicios!$F:$F,MATCH($D272,Servicios!$A:$A,0)),0),0)</f>
        <v>19160</v>
      </c>
    </row>
    <row r="273" spans="1:13" ht="15" customHeight="1" x14ac:dyDescent="0.3">
      <c r="A273" s="165">
        <v>46219</v>
      </c>
      <c r="B273" s="231" t="str">
        <f t="shared" si="8"/>
        <v>jue</v>
      </c>
      <c r="C273" s="166" t="s">
        <v>101</v>
      </c>
      <c r="D273" s="166" t="s">
        <v>125</v>
      </c>
      <c r="E273" s="231" t="str">
        <f>IFERROR(INDEX(Servicios!$B:$B,MATCH($D273,Servicios!$A:$A,0)),"")</f>
        <v>Corte dama</v>
      </c>
      <c r="F273" s="166" t="s">
        <v>282</v>
      </c>
      <c r="G273" s="166" t="s">
        <v>41</v>
      </c>
      <c r="H273" s="230">
        <f>IFERROR(INDEX(Servicios!$D:$D,MATCH($D273,Servicios!$A:$A,0)),0)</f>
        <v>45</v>
      </c>
      <c r="I273" s="226">
        <f>IFERROR(INDEX(Servicios!$E:$E,MATCH($D273,Servicios!$A:$A,0)),0)</f>
        <v>45000</v>
      </c>
      <c r="J273" s="156"/>
      <c r="K273" s="226">
        <f t="shared" si="9"/>
        <v>45000</v>
      </c>
      <c r="L273" s="226">
        <f>IFERROR(K273*IFERROR(INDEX(Servicios!$G:$G,MATCH($D273,Servicios!$A:$A,0)),0),0)</f>
        <v>13500</v>
      </c>
      <c r="M273" s="226">
        <f>IFERROR(K273-L273-IFERROR(INDEX(Servicios!$F:$F,MATCH($D273,Servicios!$A:$A,0)),0),0)</f>
        <v>30840</v>
      </c>
    </row>
    <row r="274" spans="1:13" ht="15" customHeight="1" x14ac:dyDescent="0.3">
      <c r="A274" s="165">
        <v>46219</v>
      </c>
      <c r="B274" s="231" t="str">
        <f t="shared" si="8"/>
        <v>jue</v>
      </c>
      <c r="C274" s="166" t="s">
        <v>101</v>
      </c>
      <c r="D274" s="166" t="s">
        <v>144</v>
      </c>
      <c r="E274" s="231" t="str">
        <f>IFERROR(INDEX(Servicios!$B:$B,MATCH($D274,Servicios!$A:$A,0)),"")</f>
        <v>Cepillado y secado</v>
      </c>
      <c r="F274" s="166" t="s">
        <v>287</v>
      </c>
      <c r="G274" s="166" t="s">
        <v>43</v>
      </c>
      <c r="H274" s="230">
        <f>IFERROR(INDEX(Servicios!$D:$D,MATCH($D274,Servicios!$A:$A,0)),0)</f>
        <v>30</v>
      </c>
      <c r="I274" s="226">
        <f>IFERROR(INDEX(Servicios!$E:$E,MATCH($D274,Servicios!$A:$A,0)),0)</f>
        <v>38000</v>
      </c>
      <c r="J274" s="156"/>
      <c r="K274" s="226">
        <f t="shared" si="9"/>
        <v>38000</v>
      </c>
      <c r="L274" s="226">
        <f>IFERROR(K274*IFERROR(INDEX(Servicios!$G:$G,MATCH($D274,Servicios!$A:$A,0)),0),0)</f>
        <v>11400</v>
      </c>
      <c r="M274" s="226">
        <f>IFERROR(K274-L274-IFERROR(INDEX(Servicios!$F:$F,MATCH($D274,Servicios!$A:$A,0)),0),0)</f>
        <v>26600</v>
      </c>
    </row>
    <row r="275" spans="1:13" ht="15" customHeight="1" x14ac:dyDescent="0.3">
      <c r="A275" s="165">
        <v>46219</v>
      </c>
      <c r="B275" s="231" t="str">
        <f t="shared" si="8"/>
        <v>jue</v>
      </c>
      <c r="C275" s="166" t="s">
        <v>101</v>
      </c>
      <c r="D275" s="166" t="s">
        <v>125</v>
      </c>
      <c r="E275" s="231" t="str">
        <f>IFERROR(INDEX(Servicios!$B:$B,MATCH($D275,Servicios!$A:$A,0)),"")</f>
        <v>Corte dama</v>
      </c>
      <c r="F275" s="166" t="s">
        <v>285</v>
      </c>
      <c r="G275" s="166" t="s">
        <v>41</v>
      </c>
      <c r="H275" s="230">
        <f>IFERROR(INDEX(Servicios!$D:$D,MATCH($D275,Servicios!$A:$A,0)),0)</f>
        <v>45</v>
      </c>
      <c r="I275" s="226">
        <f>IFERROR(INDEX(Servicios!$E:$E,MATCH($D275,Servicios!$A:$A,0)),0)</f>
        <v>45000</v>
      </c>
      <c r="J275" s="156"/>
      <c r="K275" s="226">
        <f t="shared" si="9"/>
        <v>45000</v>
      </c>
      <c r="L275" s="226">
        <f>IFERROR(K275*IFERROR(INDEX(Servicios!$G:$G,MATCH($D275,Servicios!$A:$A,0)),0),0)</f>
        <v>13500</v>
      </c>
      <c r="M275" s="226">
        <f>IFERROR(K275-L275-IFERROR(INDEX(Servicios!$F:$F,MATCH($D275,Servicios!$A:$A,0)),0),0)</f>
        <v>30840</v>
      </c>
    </row>
    <row r="276" spans="1:13" ht="15" customHeight="1" x14ac:dyDescent="0.3">
      <c r="A276" s="165">
        <v>46219</v>
      </c>
      <c r="B276" s="231" t="str">
        <f t="shared" si="8"/>
        <v>jue</v>
      </c>
      <c r="C276" s="166" t="s">
        <v>101</v>
      </c>
      <c r="D276" s="166" t="s">
        <v>125</v>
      </c>
      <c r="E276" s="231" t="str">
        <f>IFERROR(INDEX(Servicios!$B:$B,MATCH($D276,Servicios!$A:$A,0)),"")</f>
        <v>Corte dama</v>
      </c>
      <c r="F276" s="166" t="s">
        <v>257</v>
      </c>
      <c r="G276" s="166" t="s">
        <v>41</v>
      </c>
      <c r="H276" s="230">
        <f>IFERROR(INDEX(Servicios!$D:$D,MATCH($D276,Servicios!$A:$A,0)),0)</f>
        <v>45</v>
      </c>
      <c r="I276" s="226">
        <f>IFERROR(INDEX(Servicios!$E:$E,MATCH($D276,Servicios!$A:$A,0)),0)</f>
        <v>45000</v>
      </c>
      <c r="J276" s="156"/>
      <c r="K276" s="226">
        <f t="shared" si="9"/>
        <v>45000</v>
      </c>
      <c r="L276" s="226">
        <f>IFERROR(K276*IFERROR(INDEX(Servicios!$G:$G,MATCH($D276,Servicios!$A:$A,0)),0),0)</f>
        <v>13500</v>
      </c>
      <c r="M276" s="226">
        <f>IFERROR(K276-L276-IFERROR(INDEX(Servicios!$F:$F,MATCH($D276,Servicios!$A:$A,0)),0),0)</f>
        <v>30840</v>
      </c>
    </row>
    <row r="277" spans="1:13" ht="15" customHeight="1" x14ac:dyDescent="0.3">
      <c r="A277" s="165">
        <v>46219</v>
      </c>
      <c r="B277" s="231" t="str">
        <f t="shared" si="8"/>
        <v>jue</v>
      </c>
      <c r="C277" s="166" t="s">
        <v>101</v>
      </c>
      <c r="D277" s="166" t="s">
        <v>125</v>
      </c>
      <c r="E277" s="231" t="str">
        <f>IFERROR(INDEX(Servicios!$B:$B,MATCH($D277,Servicios!$A:$A,0)),"")</f>
        <v>Corte dama</v>
      </c>
      <c r="F277" s="166" t="s">
        <v>258</v>
      </c>
      <c r="G277" s="166" t="s">
        <v>43</v>
      </c>
      <c r="H277" s="230">
        <f>IFERROR(INDEX(Servicios!$D:$D,MATCH($D277,Servicios!$A:$A,0)),0)</f>
        <v>45</v>
      </c>
      <c r="I277" s="226">
        <f>IFERROR(INDEX(Servicios!$E:$E,MATCH($D277,Servicios!$A:$A,0)),0)</f>
        <v>45000</v>
      </c>
      <c r="J277" s="156"/>
      <c r="K277" s="226">
        <f t="shared" si="9"/>
        <v>45000</v>
      </c>
      <c r="L277" s="226">
        <f>IFERROR(K277*IFERROR(INDEX(Servicios!$G:$G,MATCH($D277,Servicios!$A:$A,0)),0),0)</f>
        <v>13500</v>
      </c>
      <c r="M277" s="226">
        <f>IFERROR(K277-L277-IFERROR(INDEX(Servicios!$F:$F,MATCH($D277,Servicios!$A:$A,0)),0),0)</f>
        <v>30840</v>
      </c>
    </row>
    <row r="278" spans="1:13" ht="15" customHeight="1" x14ac:dyDescent="0.3">
      <c r="A278" s="165">
        <v>46219</v>
      </c>
      <c r="B278" s="231" t="str">
        <f t="shared" si="8"/>
        <v>jue</v>
      </c>
      <c r="C278" s="166" t="s">
        <v>104</v>
      </c>
      <c r="D278" s="166" t="s">
        <v>133</v>
      </c>
      <c r="E278" s="231" t="str">
        <f>IFERROR(INDEX(Servicios!$B:$B,MATCH($D278,Servicios!$A:$A,0)),"")</f>
        <v>Mechas / balayage</v>
      </c>
      <c r="F278" s="166" t="s">
        <v>234</v>
      </c>
      <c r="G278" s="166" t="s">
        <v>41</v>
      </c>
      <c r="H278" s="230">
        <f>IFERROR(INDEX(Servicios!$D:$D,MATCH($D278,Servicios!$A:$A,0)),0)</f>
        <v>180</v>
      </c>
      <c r="I278" s="226">
        <f>IFERROR(INDEX(Servicios!$E:$E,MATCH($D278,Servicios!$A:$A,0)),0)</f>
        <v>320000</v>
      </c>
      <c r="J278" s="156"/>
      <c r="K278" s="226">
        <f t="shared" si="9"/>
        <v>320000</v>
      </c>
      <c r="L278" s="226">
        <f>IFERROR(K278*IFERROR(INDEX(Servicios!$G:$G,MATCH($D278,Servicios!$A:$A,0)),0),0)</f>
        <v>112000</v>
      </c>
      <c r="M278" s="226">
        <f>IFERROR(K278-L278-IFERROR(INDEX(Servicios!$F:$F,MATCH($D278,Servicios!$A:$A,0)),0),0)</f>
        <v>196240</v>
      </c>
    </row>
    <row r="279" spans="1:13" ht="15" customHeight="1" x14ac:dyDescent="0.3">
      <c r="A279" s="165">
        <v>46219</v>
      </c>
      <c r="B279" s="231" t="str">
        <f t="shared" si="8"/>
        <v>jue</v>
      </c>
      <c r="C279" s="166" t="s">
        <v>104</v>
      </c>
      <c r="D279" s="166" t="s">
        <v>135</v>
      </c>
      <c r="E279" s="231" t="str">
        <f>IFERROR(INDEX(Servicios!$B:$B,MATCH($D279,Servicios!$A:$A,0)),"")</f>
        <v>Keratina</v>
      </c>
      <c r="F279" s="166" t="s">
        <v>227</v>
      </c>
      <c r="G279" s="166" t="s">
        <v>41</v>
      </c>
      <c r="H279" s="230">
        <f>IFERROR(INDEX(Servicios!$D:$D,MATCH($D279,Servicios!$A:$A,0)),0)</f>
        <v>150</v>
      </c>
      <c r="I279" s="226">
        <f>IFERROR(INDEX(Servicios!$E:$E,MATCH($D279,Servicios!$A:$A,0)),0)</f>
        <v>280000</v>
      </c>
      <c r="J279" s="156"/>
      <c r="K279" s="226">
        <f t="shared" si="9"/>
        <v>280000</v>
      </c>
      <c r="L279" s="226">
        <f>IFERROR(K279*IFERROR(INDEX(Servicios!$G:$G,MATCH($D279,Servicios!$A:$A,0)),0),0)</f>
        <v>98000</v>
      </c>
      <c r="M279" s="226">
        <f>IFERROR(K279-L279-IFERROR(INDEX(Servicios!$F:$F,MATCH($D279,Servicios!$A:$A,0)),0),0)</f>
        <v>163100</v>
      </c>
    </row>
    <row r="280" spans="1:13" ht="15" customHeight="1" x14ac:dyDescent="0.3">
      <c r="A280" s="165">
        <v>46219</v>
      </c>
      <c r="B280" s="231" t="str">
        <f t="shared" si="8"/>
        <v>jue</v>
      </c>
      <c r="C280" s="166" t="s">
        <v>107</v>
      </c>
      <c r="D280" s="166" t="s">
        <v>138</v>
      </c>
      <c r="E280" s="231" t="str">
        <f>IFERROR(INDEX(Servicios!$B:$B,MATCH($D280,Servicios!$A:$A,0)),"")</f>
        <v>Manicure</v>
      </c>
      <c r="F280" s="166" t="s">
        <v>223</v>
      </c>
      <c r="G280" s="166" t="s">
        <v>41</v>
      </c>
      <c r="H280" s="230">
        <f>IFERROR(INDEX(Servicios!$D:$D,MATCH($D280,Servicios!$A:$A,0)),0)</f>
        <v>45</v>
      </c>
      <c r="I280" s="226">
        <f>IFERROR(INDEX(Servicios!$E:$E,MATCH($D280,Servicios!$A:$A,0)),0)</f>
        <v>35000</v>
      </c>
      <c r="J280" s="156"/>
      <c r="K280" s="226">
        <f t="shared" si="9"/>
        <v>35000</v>
      </c>
      <c r="L280" s="226">
        <f>IFERROR(K280*IFERROR(INDEX(Servicios!$G:$G,MATCH($D280,Servicios!$A:$A,0)),0),0)</f>
        <v>8750</v>
      </c>
      <c r="M280" s="226">
        <f>IFERROR(K280-L280-IFERROR(INDEX(Servicios!$F:$F,MATCH($D280,Servicios!$A:$A,0)),0),0)</f>
        <v>25740</v>
      </c>
    </row>
    <row r="281" spans="1:13" ht="15" customHeight="1" x14ac:dyDescent="0.3">
      <c r="A281" s="165">
        <v>46219</v>
      </c>
      <c r="B281" s="231" t="str">
        <f t="shared" si="8"/>
        <v>jue</v>
      </c>
      <c r="C281" s="166" t="s">
        <v>107</v>
      </c>
      <c r="D281" s="166" t="s">
        <v>138</v>
      </c>
      <c r="E281" s="231" t="str">
        <f>IFERROR(INDEX(Servicios!$B:$B,MATCH($D281,Servicios!$A:$A,0)),"")</f>
        <v>Manicure</v>
      </c>
      <c r="F281" s="166" t="s">
        <v>272</v>
      </c>
      <c r="G281" s="166" t="s">
        <v>41</v>
      </c>
      <c r="H281" s="230">
        <f>IFERROR(INDEX(Servicios!$D:$D,MATCH($D281,Servicios!$A:$A,0)),0)</f>
        <v>45</v>
      </c>
      <c r="I281" s="226">
        <f>IFERROR(INDEX(Servicios!$E:$E,MATCH($D281,Servicios!$A:$A,0)),0)</f>
        <v>35000</v>
      </c>
      <c r="J281" s="156"/>
      <c r="K281" s="226">
        <f t="shared" si="9"/>
        <v>35000</v>
      </c>
      <c r="L281" s="226">
        <f>IFERROR(K281*IFERROR(INDEX(Servicios!$G:$G,MATCH($D281,Servicios!$A:$A,0)),0),0)</f>
        <v>8750</v>
      </c>
      <c r="M281" s="226">
        <f>IFERROR(K281-L281-IFERROR(INDEX(Servicios!$F:$F,MATCH($D281,Servicios!$A:$A,0)),0),0)</f>
        <v>25740</v>
      </c>
    </row>
    <row r="282" spans="1:13" ht="15" customHeight="1" x14ac:dyDescent="0.3">
      <c r="A282" s="165">
        <v>46219</v>
      </c>
      <c r="B282" s="231" t="str">
        <f t="shared" si="8"/>
        <v>jue</v>
      </c>
      <c r="C282" s="166" t="s">
        <v>107</v>
      </c>
      <c r="D282" s="166" t="s">
        <v>138</v>
      </c>
      <c r="E282" s="231" t="str">
        <f>IFERROR(INDEX(Servicios!$B:$B,MATCH($D282,Servicios!$A:$A,0)),"")</f>
        <v>Manicure</v>
      </c>
      <c r="F282" s="166" t="s">
        <v>281</v>
      </c>
      <c r="G282" s="166" t="s">
        <v>43</v>
      </c>
      <c r="H282" s="230">
        <f>IFERROR(INDEX(Servicios!$D:$D,MATCH($D282,Servicios!$A:$A,0)),0)</f>
        <v>45</v>
      </c>
      <c r="I282" s="226">
        <f>IFERROR(INDEX(Servicios!$E:$E,MATCH($D282,Servicios!$A:$A,0)),0)</f>
        <v>35000</v>
      </c>
      <c r="J282" s="156"/>
      <c r="K282" s="226">
        <f t="shared" si="9"/>
        <v>35000</v>
      </c>
      <c r="L282" s="226">
        <f>IFERROR(K282*IFERROR(INDEX(Servicios!$G:$G,MATCH($D282,Servicios!$A:$A,0)),0),0)</f>
        <v>8750</v>
      </c>
      <c r="M282" s="226">
        <f>IFERROR(K282-L282-IFERROR(INDEX(Servicios!$F:$F,MATCH($D282,Servicios!$A:$A,0)),0),0)</f>
        <v>25740</v>
      </c>
    </row>
    <row r="283" spans="1:13" ht="15" customHeight="1" x14ac:dyDescent="0.3">
      <c r="A283" s="165">
        <v>46219</v>
      </c>
      <c r="B283" s="231" t="str">
        <f t="shared" si="8"/>
        <v>jue</v>
      </c>
      <c r="C283" s="166" t="s">
        <v>107</v>
      </c>
      <c r="D283" s="166" t="s">
        <v>138</v>
      </c>
      <c r="E283" s="231" t="str">
        <f>IFERROR(INDEX(Servicios!$B:$B,MATCH($D283,Servicios!$A:$A,0)),"")</f>
        <v>Manicure</v>
      </c>
      <c r="F283" s="166" t="s">
        <v>290</v>
      </c>
      <c r="G283" s="166" t="s">
        <v>41</v>
      </c>
      <c r="H283" s="230">
        <f>IFERROR(INDEX(Servicios!$D:$D,MATCH($D283,Servicios!$A:$A,0)),0)</f>
        <v>45</v>
      </c>
      <c r="I283" s="226">
        <f>IFERROR(INDEX(Servicios!$E:$E,MATCH($D283,Servicios!$A:$A,0)),0)</f>
        <v>35000</v>
      </c>
      <c r="J283" s="156"/>
      <c r="K283" s="226">
        <f t="shared" si="9"/>
        <v>35000</v>
      </c>
      <c r="L283" s="226">
        <f>IFERROR(K283*IFERROR(INDEX(Servicios!$G:$G,MATCH($D283,Servicios!$A:$A,0)),0),0)</f>
        <v>8750</v>
      </c>
      <c r="M283" s="226">
        <f>IFERROR(K283-L283-IFERROR(INDEX(Servicios!$F:$F,MATCH($D283,Servicios!$A:$A,0)),0),0)</f>
        <v>25740</v>
      </c>
    </row>
    <row r="284" spans="1:13" ht="15" customHeight="1" x14ac:dyDescent="0.3">
      <c r="A284" s="165">
        <v>46219</v>
      </c>
      <c r="B284" s="231" t="str">
        <f t="shared" si="8"/>
        <v>jue</v>
      </c>
      <c r="C284" s="166" t="s">
        <v>107</v>
      </c>
      <c r="D284" s="166" t="s">
        <v>138</v>
      </c>
      <c r="E284" s="231" t="str">
        <f>IFERROR(INDEX(Servicios!$B:$B,MATCH($D284,Servicios!$A:$A,0)),"")</f>
        <v>Manicure</v>
      </c>
      <c r="F284" s="166" t="s">
        <v>251</v>
      </c>
      <c r="G284" s="166" t="s">
        <v>43</v>
      </c>
      <c r="H284" s="230">
        <f>IFERROR(INDEX(Servicios!$D:$D,MATCH($D284,Servicios!$A:$A,0)),0)</f>
        <v>45</v>
      </c>
      <c r="I284" s="226">
        <f>IFERROR(INDEX(Servicios!$E:$E,MATCH($D284,Servicios!$A:$A,0)),0)</f>
        <v>35000</v>
      </c>
      <c r="J284" s="156"/>
      <c r="K284" s="226">
        <f t="shared" si="9"/>
        <v>35000</v>
      </c>
      <c r="L284" s="226">
        <f>IFERROR(K284*IFERROR(INDEX(Servicios!$G:$G,MATCH($D284,Servicios!$A:$A,0)),0),0)</f>
        <v>8750</v>
      </c>
      <c r="M284" s="226">
        <f>IFERROR(K284-L284-IFERROR(INDEX(Servicios!$F:$F,MATCH($D284,Servicios!$A:$A,0)),0),0)</f>
        <v>25740</v>
      </c>
    </row>
    <row r="285" spans="1:13" ht="15" customHeight="1" x14ac:dyDescent="0.3">
      <c r="A285" s="165">
        <v>46219</v>
      </c>
      <c r="B285" s="231" t="str">
        <f t="shared" si="8"/>
        <v>jue</v>
      </c>
      <c r="C285" s="166" t="s">
        <v>107</v>
      </c>
      <c r="D285" s="166" t="s">
        <v>138</v>
      </c>
      <c r="E285" s="231" t="str">
        <f>IFERROR(INDEX(Servicios!$B:$B,MATCH($D285,Servicios!$A:$A,0)),"")</f>
        <v>Manicure</v>
      </c>
      <c r="F285" s="166" t="s">
        <v>270</v>
      </c>
      <c r="G285" s="166" t="s">
        <v>41</v>
      </c>
      <c r="H285" s="230">
        <f>IFERROR(INDEX(Servicios!$D:$D,MATCH($D285,Servicios!$A:$A,0)),0)</f>
        <v>45</v>
      </c>
      <c r="I285" s="226">
        <f>IFERROR(INDEX(Servicios!$E:$E,MATCH($D285,Servicios!$A:$A,0)),0)</f>
        <v>35000</v>
      </c>
      <c r="J285" s="156"/>
      <c r="K285" s="226">
        <f t="shared" si="9"/>
        <v>35000</v>
      </c>
      <c r="L285" s="226">
        <f>IFERROR(K285*IFERROR(INDEX(Servicios!$G:$G,MATCH($D285,Servicios!$A:$A,0)),0),0)</f>
        <v>8750</v>
      </c>
      <c r="M285" s="226">
        <f>IFERROR(K285-L285-IFERROR(INDEX(Servicios!$F:$F,MATCH($D285,Servicios!$A:$A,0)),0),0)</f>
        <v>25740</v>
      </c>
    </row>
    <row r="286" spans="1:13" ht="15" customHeight="1" x14ac:dyDescent="0.3">
      <c r="A286" s="165">
        <v>46220</v>
      </c>
      <c r="B286" s="231" t="str">
        <f t="shared" si="8"/>
        <v>vie</v>
      </c>
      <c r="C286" s="166" t="s">
        <v>98</v>
      </c>
      <c r="D286" s="166" t="s">
        <v>125</v>
      </c>
      <c r="E286" s="231" t="str">
        <f>IFERROR(INDEX(Servicios!$B:$B,MATCH($D286,Servicios!$A:$A,0)),"")</f>
        <v>Corte dama</v>
      </c>
      <c r="F286" s="166" t="s">
        <v>239</v>
      </c>
      <c r="G286" s="166" t="s">
        <v>43</v>
      </c>
      <c r="H286" s="230">
        <f>IFERROR(INDEX(Servicios!$D:$D,MATCH($D286,Servicios!$A:$A,0)),0)</f>
        <v>45</v>
      </c>
      <c r="I286" s="226">
        <f>IFERROR(INDEX(Servicios!$E:$E,MATCH($D286,Servicios!$A:$A,0)),0)</f>
        <v>45000</v>
      </c>
      <c r="J286" s="156"/>
      <c r="K286" s="226">
        <f t="shared" si="9"/>
        <v>45000</v>
      </c>
      <c r="L286" s="226">
        <f>IFERROR(K286*IFERROR(INDEX(Servicios!$G:$G,MATCH($D286,Servicios!$A:$A,0)),0),0)</f>
        <v>13500</v>
      </c>
      <c r="M286" s="226">
        <f>IFERROR(K286-L286-IFERROR(INDEX(Servicios!$F:$F,MATCH($D286,Servicios!$A:$A,0)),0),0)</f>
        <v>30840</v>
      </c>
    </row>
    <row r="287" spans="1:13" ht="15" customHeight="1" x14ac:dyDescent="0.3">
      <c r="A287" s="165">
        <v>46220</v>
      </c>
      <c r="B287" s="231" t="str">
        <f t="shared" si="8"/>
        <v>vie</v>
      </c>
      <c r="C287" s="166" t="s">
        <v>98</v>
      </c>
      <c r="D287" s="166" t="s">
        <v>125</v>
      </c>
      <c r="E287" s="231" t="str">
        <f>IFERROR(INDEX(Servicios!$B:$B,MATCH($D287,Servicios!$A:$A,0)),"")</f>
        <v>Corte dama</v>
      </c>
      <c r="F287" s="166" t="s">
        <v>225</v>
      </c>
      <c r="G287" s="166" t="s">
        <v>41</v>
      </c>
      <c r="H287" s="230">
        <f>IFERROR(INDEX(Servicios!$D:$D,MATCH($D287,Servicios!$A:$A,0)),0)</f>
        <v>45</v>
      </c>
      <c r="I287" s="226">
        <f>IFERROR(INDEX(Servicios!$E:$E,MATCH($D287,Servicios!$A:$A,0)),0)</f>
        <v>45000</v>
      </c>
      <c r="J287" s="156"/>
      <c r="K287" s="226">
        <f t="shared" si="9"/>
        <v>45000</v>
      </c>
      <c r="L287" s="226">
        <f>IFERROR(K287*IFERROR(INDEX(Servicios!$G:$G,MATCH($D287,Servicios!$A:$A,0)),0),0)</f>
        <v>13500</v>
      </c>
      <c r="M287" s="226">
        <f>IFERROR(K287-L287-IFERROR(INDEX(Servicios!$F:$F,MATCH($D287,Servicios!$A:$A,0)),0),0)</f>
        <v>30840</v>
      </c>
    </row>
    <row r="288" spans="1:13" ht="15" customHeight="1" x14ac:dyDescent="0.3">
      <c r="A288" s="165">
        <v>46220</v>
      </c>
      <c r="B288" s="231" t="str">
        <f t="shared" si="8"/>
        <v>vie</v>
      </c>
      <c r="C288" s="166" t="s">
        <v>98</v>
      </c>
      <c r="D288" s="166" t="s">
        <v>125</v>
      </c>
      <c r="E288" s="231" t="str">
        <f>IFERROR(INDEX(Servicios!$B:$B,MATCH($D288,Servicios!$A:$A,0)),"")</f>
        <v>Corte dama</v>
      </c>
      <c r="F288" s="166" t="s">
        <v>231</v>
      </c>
      <c r="G288" s="166" t="s">
        <v>43</v>
      </c>
      <c r="H288" s="230">
        <f>IFERROR(INDEX(Servicios!$D:$D,MATCH($D288,Servicios!$A:$A,0)),0)</f>
        <v>45</v>
      </c>
      <c r="I288" s="226">
        <f>IFERROR(INDEX(Servicios!$E:$E,MATCH($D288,Servicios!$A:$A,0)),0)</f>
        <v>45000</v>
      </c>
      <c r="J288" s="156"/>
      <c r="K288" s="226">
        <f t="shared" si="9"/>
        <v>45000</v>
      </c>
      <c r="L288" s="226">
        <f>IFERROR(K288*IFERROR(INDEX(Servicios!$G:$G,MATCH($D288,Servicios!$A:$A,0)),0),0)</f>
        <v>13500</v>
      </c>
      <c r="M288" s="226">
        <f>IFERROR(K288-L288-IFERROR(INDEX(Servicios!$F:$F,MATCH($D288,Servicios!$A:$A,0)),0),0)</f>
        <v>30840</v>
      </c>
    </row>
    <row r="289" spans="1:13" ht="15" customHeight="1" x14ac:dyDescent="0.3">
      <c r="A289" s="165">
        <v>46220</v>
      </c>
      <c r="B289" s="231" t="str">
        <f t="shared" si="8"/>
        <v>vie</v>
      </c>
      <c r="C289" s="166" t="s">
        <v>98</v>
      </c>
      <c r="D289" s="166" t="s">
        <v>125</v>
      </c>
      <c r="E289" s="231" t="str">
        <f>IFERROR(INDEX(Servicios!$B:$B,MATCH($D289,Servicios!$A:$A,0)),"")</f>
        <v>Corte dama</v>
      </c>
      <c r="F289" s="166" t="s">
        <v>276</v>
      </c>
      <c r="G289" s="166" t="s">
        <v>41</v>
      </c>
      <c r="H289" s="230">
        <f>IFERROR(INDEX(Servicios!$D:$D,MATCH($D289,Servicios!$A:$A,0)),0)</f>
        <v>45</v>
      </c>
      <c r="I289" s="226">
        <f>IFERROR(INDEX(Servicios!$E:$E,MATCH($D289,Servicios!$A:$A,0)),0)</f>
        <v>45000</v>
      </c>
      <c r="J289" s="156"/>
      <c r="K289" s="226">
        <f t="shared" si="9"/>
        <v>45000</v>
      </c>
      <c r="L289" s="226">
        <f>IFERROR(K289*IFERROR(INDEX(Servicios!$G:$G,MATCH($D289,Servicios!$A:$A,0)),0),0)</f>
        <v>13500</v>
      </c>
      <c r="M289" s="226">
        <f>IFERROR(K289-L289-IFERROR(INDEX(Servicios!$F:$F,MATCH($D289,Servicios!$A:$A,0)),0),0)</f>
        <v>30840</v>
      </c>
    </row>
    <row r="290" spans="1:13" ht="15" customHeight="1" x14ac:dyDescent="0.3">
      <c r="A290" s="165">
        <v>46220</v>
      </c>
      <c r="B290" s="231" t="str">
        <f t="shared" si="8"/>
        <v>vie</v>
      </c>
      <c r="C290" s="166" t="s">
        <v>98</v>
      </c>
      <c r="D290" s="166" t="s">
        <v>128</v>
      </c>
      <c r="E290" s="231" t="str">
        <f>IFERROR(INDEX(Servicios!$B:$B,MATCH($D290,Servicios!$A:$A,0)),"")</f>
        <v>Corte caballero</v>
      </c>
      <c r="F290" s="166" t="s">
        <v>247</v>
      </c>
      <c r="G290" s="166" t="s">
        <v>41</v>
      </c>
      <c r="H290" s="230">
        <f>IFERROR(INDEX(Servicios!$D:$D,MATCH($D290,Servicios!$A:$A,0)),0)</f>
        <v>30</v>
      </c>
      <c r="I290" s="226">
        <f>IFERROR(INDEX(Servicios!$E:$E,MATCH($D290,Servicios!$A:$A,0)),0)</f>
        <v>28000</v>
      </c>
      <c r="J290" s="156"/>
      <c r="K290" s="226">
        <f t="shared" si="9"/>
        <v>28000</v>
      </c>
      <c r="L290" s="226">
        <f>IFERROR(K290*IFERROR(INDEX(Servicios!$G:$G,MATCH($D290,Servicios!$A:$A,0)),0),0)</f>
        <v>8400</v>
      </c>
      <c r="M290" s="226">
        <f>IFERROR(K290-L290-IFERROR(INDEX(Servicios!$F:$F,MATCH($D290,Servicios!$A:$A,0)),0),0)</f>
        <v>19160</v>
      </c>
    </row>
    <row r="291" spans="1:13" ht="15" customHeight="1" x14ac:dyDescent="0.3">
      <c r="A291" s="165">
        <v>46220</v>
      </c>
      <c r="B291" s="231" t="str">
        <f t="shared" si="8"/>
        <v>vie</v>
      </c>
      <c r="C291" s="166" t="s">
        <v>98</v>
      </c>
      <c r="D291" s="166" t="s">
        <v>125</v>
      </c>
      <c r="E291" s="231" t="str">
        <f>IFERROR(INDEX(Servicios!$B:$B,MATCH($D291,Servicios!$A:$A,0)),"")</f>
        <v>Corte dama</v>
      </c>
      <c r="F291" s="166" t="s">
        <v>291</v>
      </c>
      <c r="G291" s="166" t="s">
        <v>41</v>
      </c>
      <c r="H291" s="230">
        <f>IFERROR(INDEX(Servicios!$D:$D,MATCH($D291,Servicios!$A:$A,0)),0)</f>
        <v>45</v>
      </c>
      <c r="I291" s="226">
        <f>IFERROR(INDEX(Servicios!$E:$E,MATCH($D291,Servicios!$A:$A,0)),0)</f>
        <v>45000</v>
      </c>
      <c r="J291" s="156"/>
      <c r="K291" s="226">
        <f t="shared" si="9"/>
        <v>45000</v>
      </c>
      <c r="L291" s="226">
        <f>IFERROR(K291*IFERROR(INDEX(Servicios!$G:$G,MATCH($D291,Servicios!$A:$A,0)),0),0)</f>
        <v>13500</v>
      </c>
      <c r="M291" s="226">
        <f>IFERROR(K291-L291-IFERROR(INDEX(Servicios!$F:$F,MATCH($D291,Servicios!$A:$A,0)),0),0)</f>
        <v>30840</v>
      </c>
    </row>
    <row r="292" spans="1:13" ht="15" customHeight="1" x14ac:dyDescent="0.3">
      <c r="A292" s="165">
        <v>46220</v>
      </c>
      <c r="B292" s="231" t="str">
        <f t="shared" si="8"/>
        <v>vie</v>
      </c>
      <c r="C292" s="166" t="s">
        <v>98</v>
      </c>
      <c r="D292" s="166" t="s">
        <v>128</v>
      </c>
      <c r="E292" s="231" t="str">
        <f>IFERROR(INDEX(Servicios!$B:$B,MATCH($D292,Servicios!$A:$A,0)),"")</f>
        <v>Corte caballero</v>
      </c>
      <c r="F292" s="166" t="s">
        <v>242</v>
      </c>
      <c r="G292" s="166" t="s">
        <v>41</v>
      </c>
      <c r="H292" s="230">
        <f>IFERROR(INDEX(Servicios!$D:$D,MATCH($D292,Servicios!$A:$A,0)),0)</f>
        <v>30</v>
      </c>
      <c r="I292" s="226">
        <f>IFERROR(INDEX(Servicios!$E:$E,MATCH($D292,Servicios!$A:$A,0)),0)</f>
        <v>28000</v>
      </c>
      <c r="J292" s="156"/>
      <c r="K292" s="226">
        <f t="shared" si="9"/>
        <v>28000</v>
      </c>
      <c r="L292" s="226">
        <f>IFERROR(K292*IFERROR(INDEX(Servicios!$G:$G,MATCH($D292,Servicios!$A:$A,0)),0),0)</f>
        <v>8400</v>
      </c>
      <c r="M292" s="226">
        <f>IFERROR(K292-L292-IFERROR(INDEX(Servicios!$F:$F,MATCH($D292,Servicios!$A:$A,0)),0),0)</f>
        <v>19160</v>
      </c>
    </row>
    <row r="293" spans="1:13" ht="15" customHeight="1" x14ac:dyDescent="0.3">
      <c r="A293" s="165">
        <v>46220</v>
      </c>
      <c r="B293" s="231" t="str">
        <f t="shared" si="8"/>
        <v>vie</v>
      </c>
      <c r="C293" s="166" t="s">
        <v>98</v>
      </c>
      <c r="D293" s="166" t="s">
        <v>125</v>
      </c>
      <c r="E293" s="231" t="str">
        <f>IFERROR(INDEX(Servicios!$B:$B,MATCH($D293,Servicios!$A:$A,0)),"")</f>
        <v>Corte dama</v>
      </c>
      <c r="F293" s="166" t="s">
        <v>240</v>
      </c>
      <c r="G293" s="166" t="s">
        <v>43</v>
      </c>
      <c r="H293" s="230">
        <f>IFERROR(INDEX(Servicios!$D:$D,MATCH($D293,Servicios!$A:$A,0)),0)</f>
        <v>45</v>
      </c>
      <c r="I293" s="226">
        <f>IFERROR(INDEX(Servicios!$E:$E,MATCH($D293,Servicios!$A:$A,0)),0)</f>
        <v>45000</v>
      </c>
      <c r="J293" s="156"/>
      <c r="K293" s="226">
        <f t="shared" si="9"/>
        <v>45000</v>
      </c>
      <c r="L293" s="226">
        <f>IFERROR(K293*IFERROR(INDEX(Servicios!$G:$G,MATCH($D293,Servicios!$A:$A,0)),0),0)</f>
        <v>13500</v>
      </c>
      <c r="M293" s="226">
        <f>IFERROR(K293-L293-IFERROR(INDEX(Servicios!$F:$F,MATCH($D293,Servicios!$A:$A,0)),0),0)</f>
        <v>30840</v>
      </c>
    </row>
    <row r="294" spans="1:13" ht="15" customHeight="1" x14ac:dyDescent="0.3">
      <c r="A294" s="165">
        <v>46220</v>
      </c>
      <c r="B294" s="231" t="str">
        <f t="shared" si="8"/>
        <v>vie</v>
      </c>
      <c r="C294" s="166" t="s">
        <v>98</v>
      </c>
      <c r="D294" s="166" t="s">
        <v>128</v>
      </c>
      <c r="E294" s="231" t="str">
        <f>IFERROR(INDEX(Servicios!$B:$B,MATCH($D294,Servicios!$A:$A,0)),"")</f>
        <v>Corte caballero</v>
      </c>
      <c r="F294" s="166" t="s">
        <v>291</v>
      </c>
      <c r="G294" s="166" t="s">
        <v>41</v>
      </c>
      <c r="H294" s="230">
        <f>IFERROR(INDEX(Servicios!$D:$D,MATCH($D294,Servicios!$A:$A,0)),0)</f>
        <v>30</v>
      </c>
      <c r="I294" s="226">
        <f>IFERROR(INDEX(Servicios!$E:$E,MATCH($D294,Servicios!$A:$A,0)),0)</f>
        <v>28000</v>
      </c>
      <c r="J294" s="156"/>
      <c r="K294" s="226">
        <f t="shared" si="9"/>
        <v>28000</v>
      </c>
      <c r="L294" s="226">
        <f>IFERROR(K294*IFERROR(INDEX(Servicios!$G:$G,MATCH($D294,Servicios!$A:$A,0)),0),0)</f>
        <v>8400</v>
      </c>
      <c r="M294" s="226">
        <f>IFERROR(K294-L294-IFERROR(INDEX(Servicios!$F:$F,MATCH($D294,Servicios!$A:$A,0)),0),0)</f>
        <v>19160</v>
      </c>
    </row>
    <row r="295" spans="1:13" ht="15" customHeight="1" x14ac:dyDescent="0.3">
      <c r="A295" s="165">
        <v>46220</v>
      </c>
      <c r="B295" s="231" t="str">
        <f t="shared" si="8"/>
        <v>vie</v>
      </c>
      <c r="C295" s="166" t="s">
        <v>101</v>
      </c>
      <c r="D295" s="166" t="s">
        <v>128</v>
      </c>
      <c r="E295" s="231" t="str">
        <f>IFERROR(INDEX(Servicios!$B:$B,MATCH($D295,Servicios!$A:$A,0)),"")</f>
        <v>Corte caballero</v>
      </c>
      <c r="F295" s="166" t="s">
        <v>233</v>
      </c>
      <c r="G295" s="166" t="s">
        <v>41</v>
      </c>
      <c r="H295" s="230">
        <f>IFERROR(INDEX(Servicios!$D:$D,MATCH($D295,Servicios!$A:$A,0)),0)</f>
        <v>30</v>
      </c>
      <c r="I295" s="226">
        <f>IFERROR(INDEX(Servicios!$E:$E,MATCH($D295,Servicios!$A:$A,0)),0)</f>
        <v>28000</v>
      </c>
      <c r="J295" s="156"/>
      <c r="K295" s="226">
        <f t="shared" si="9"/>
        <v>28000</v>
      </c>
      <c r="L295" s="226">
        <f>IFERROR(K295*IFERROR(INDEX(Servicios!$G:$G,MATCH($D295,Servicios!$A:$A,0)),0),0)</f>
        <v>8400</v>
      </c>
      <c r="M295" s="226">
        <f>IFERROR(K295-L295-IFERROR(INDEX(Servicios!$F:$F,MATCH($D295,Servicios!$A:$A,0)),0),0)</f>
        <v>19160</v>
      </c>
    </row>
    <row r="296" spans="1:13" ht="15" customHeight="1" x14ac:dyDescent="0.3">
      <c r="A296" s="165">
        <v>46220</v>
      </c>
      <c r="B296" s="231" t="str">
        <f t="shared" si="8"/>
        <v>vie</v>
      </c>
      <c r="C296" s="166" t="s">
        <v>101</v>
      </c>
      <c r="D296" s="166" t="s">
        <v>128</v>
      </c>
      <c r="E296" s="231" t="str">
        <f>IFERROR(INDEX(Servicios!$B:$B,MATCH($D296,Servicios!$A:$A,0)),"")</f>
        <v>Corte caballero</v>
      </c>
      <c r="F296" s="166" t="s">
        <v>278</v>
      </c>
      <c r="G296" s="166" t="s">
        <v>43</v>
      </c>
      <c r="H296" s="230">
        <f>IFERROR(INDEX(Servicios!$D:$D,MATCH($D296,Servicios!$A:$A,0)),0)</f>
        <v>30</v>
      </c>
      <c r="I296" s="226">
        <f>IFERROR(INDEX(Servicios!$E:$E,MATCH($D296,Servicios!$A:$A,0)),0)</f>
        <v>28000</v>
      </c>
      <c r="J296" s="156"/>
      <c r="K296" s="226">
        <f t="shared" si="9"/>
        <v>28000</v>
      </c>
      <c r="L296" s="226">
        <f>IFERROR(K296*IFERROR(INDEX(Servicios!$G:$G,MATCH($D296,Servicios!$A:$A,0)),0),0)</f>
        <v>8400</v>
      </c>
      <c r="M296" s="226">
        <f>IFERROR(K296-L296-IFERROR(INDEX(Servicios!$F:$F,MATCH($D296,Servicios!$A:$A,0)),0),0)</f>
        <v>19160</v>
      </c>
    </row>
    <row r="297" spans="1:13" ht="15" customHeight="1" x14ac:dyDescent="0.3">
      <c r="A297" s="165">
        <v>46220</v>
      </c>
      <c r="B297" s="231" t="str">
        <f t="shared" si="8"/>
        <v>vie</v>
      </c>
      <c r="C297" s="166" t="s">
        <v>101</v>
      </c>
      <c r="D297" s="166" t="s">
        <v>125</v>
      </c>
      <c r="E297" s="231" t="str">
        <f>IFERROR(INDEX(Servicios!$B:$B,MATCH($D297,Servicios!$A:$A,0)),"")</f>
        <v>Corte dama</v>
      </c>
      <c r="F297" s="166" t="s">
        <v>254</v>
      </c>
      <c r="G297" s="166" t="s">
        <v>41</v>
      </c>
      <c r="H297" s="230">
        <f>IFERROR(INDEX(Servicios!$D:$D,MATCH($D297,Servicios!$A:$A,0)),0)</f>
        <v>45</v>
      </c>
      <c r="I297" s="226">
        <f>IFERROR(INDEX(Servicios!$E:$E,MATCH($D297,Servicios!$A:$A,0)),0)</f>
        <v>45000</v>
      </c>
      <c r="J297" s="156"/>
      <c r="K297" s="226">
        <f t="shared" si="9"/>
        <v>45000</v>
      </c>
      <c r="L297" s="226">
        <f>IFERROR(K297*IFERROR(INDEX(Servicios!$G:$G,MATCH($D297,Servicios!$A:$A,0)),0),0)</f>
        <v>13500</v>
      </c>
      <c r="M297" s="226">
        <f>IFERROR(K297-L297-IFERROR(INDEX(Servicios!$F:$F,MATCH($D297,Servicios!$A:$A,0)),0),0)</f>
        <v>30840</v>
      </c>
    </row>
    <row r="298" spans="1:13" ht="15" customHeight="1" x14ac:dyDescent="0.3">
      <c r="A298" s="165">
        <v>46220</v>
      </c>
      <c r="B298" s="231" t="str">
        <f t="shared" si="8"/>
        <v>vie</v>
      </c>
      <c r="C298" s="166" t="s">
        <v>101</v>
      </c>
      <c r="D298" s="166" t="s">
        <v>125</v>
      </c>
      <c r="E298" s="231" t="str">
        <f>IFERROR(INDEX(Servicios!$B:$B,MATCH($D298,Servicios!$A:$A,0)),"")</f>
        <v>Corte dama</v>
      </c>
      <c r="F298" s="166" t="s">
        <v>241</v>
      </c>
      <c r="G298" s="166" t="s">
        <v>41</v>
      </c>
      <c r="H298" s="230">
        <f>IFERROR(INDEX(Servicios!$D:$D,MATCH($D298,Servicios!$A:$A,0)),0)</f>
        <v>45</v>
      </c>
      <c r="I298" s="226">
        <f>IFERROR(INDEX(Servicios!$E:$E,MATCH($D298,Servicios!$A:$A,0)),0)</f>
        <v>45000</v>
      </c>
      <c r="J298" s="156"/>
      <c r="K298" s="226">
        <f t="shared" si="9"/>
        <v>45000</v>
      </c>
      <c r="L298" s="226">
        <f>IFERROR(K298*IFERROR(INDEX(Servicios!$G:$G,MATCH($D298,Servicios!$A:$A,0)),0),0)</f>
        <v>13500</v>
      </c>
      <c r="M298" s="226">
        <f>IFERROR(K298-L298-IFERROR(INDEX(Servicios!$F:$F,MATCH($D298,Servicios!$A:$A,0)),0),0)</f>
        <v>30840</v>
      </c>
    </row>
    <row r="299" spans="1:13" ht="15" customHeight="1" x14ac:dyDescent="0.3">
      <c r="A299" s="165">
        <v>46220</v>
      </c>
      <c r="B299" s="231" t="str">
        <f t="shared" si="8"/>
        <v>vie</v>
      </c>
      <c r="C299" s="166" t="s">
        <v>101</v>
      </c>
      <c r="D299" s="166" t="s">
        <v>125</v>
      </c>
      <c r="E299" s="231" t="str">
        <f>IFERROR(INDEX(Servicios!$B:$B,MATCH($D299,Servicios!$A:$A,0)),"")</f>
        <v>Corte dama</v>
      </c>
      <c r="F299" s="166" t="s">
        <v>256</v>
      </c>
      <c r="G299" s="166" t="s">
        <v>41</v>
      </c>
      <c r="H299" s="230">
        <f>IFERROR(INDEX(Servicios!$D:$D,MATCH($D299,Servicios!$A:$A,0)),0)</f>
        <v>45</v>
      </c>
      <c r="I299" s="226">
        <f>IFERROR(INDEX(Servicios!$E:$E,MATCH($D299,Servicios!$A:$A,0)),0)</f>
        <v>45000</v>
      </c>
      <c r="J299" s="156"/>
      <c r="K299" s="226">
        <f t="shared" si="9"/>
        <v>45000</v>
      </c>
      <c r="L299" s="226">
        <f>IFERROR(K299*IFERROR(INDEX(Servicios!$G:$G,MATCH($D299,Servicios!$A:$A,0)),0),0)</f>
        <v>13500</v>
      </c>
      <c r="M299" s="226">
        <f>IFERROR(K299-L299-IFERROR(INDEX(Servicios!$F:$F,MATCH($D299,Servicios!$A:$A,0)),0),0)</f>
        <v>30840</v>
      </c>
    </row>
    <row r="300" spans="1:13" ht="15" customHeight="1" x14ac:dyDescent="0.3">
      <c r="A300" s="165">
        <v>46220</v>
      </c>
      <c r="B300" s="231" t="str">
        <f t="shared" si="8"/>
        <v>vie</v>
      </c>
      <c r="C300" s="166" t="s">
        <v>101</v>
      </c>
      <c r="D300" s="166" t="s">
        <v>128</v>
      </c>
      <c r="E300" s="231" t="str">
        <f>IFERROR(INDEX(Servicios!$B:$B,MATCH($D300,Servicios!$A:$A,0)),"")</f>
        <v>Corte caballero</v>
      </c>
      <c r="F300" s="166" t="s">
        <v>224</v>
      </c>
      <c r="G300" s="166" t="s">
        <v>43</v>
      </c>
      <c r="H300" s="230">
        <f>IFERROR(INDEX(Servicios!$D:$D,MATCH($D300,Servicios!$A:$A,0)),0)</f>
        <v>30</v>
      </c>
      <c r="I300" s="226">
        <f>IFERROR(INDEX(Servicios!$E:$E,MATCH($D300,Servicios!$A:$A,0)),0)</f>
        <v>28000</v>
      </c>
      <c r="J300" s="156"/>
      <c r="K300" s="226">
        <f t="shared" si="9"/>
        <v>28000</v>
      </c>
      <c r="L300" s="226">
        <f>IFERROR(K300*IFERROR(INDEX(Servicios!$G:$G,MATCH($D300,Servicios!$A:$A,0)),0),0)</f>
        <v>8400</v>
      </c>
      <c r="M300" s="226">
        <f>IFERROR(K300-L300-IFERROR(INDEX(Servicios!$F:$F,MATCH($D300,Servicios!$A:$A,0)),0),0)</f>
        <v>19160</v>
      </c>
    </row>
    <row r="301" spans="1:13" ht="15" customHeight="1" x14ac:dyDescent="0.3">
      <c r="A301" s="165">
        <v>46220</v>
      </c>
      <c r="B301" s="231" t="str">
        <f t="shared" si="8"/>
        <v>vie</v>
      </c>
      <c r="C301" s="166" t="s">
        <v>101</v>
      </c>
      <c r="D301" s="166" t="s">
        <v>125</v>
      </c>
      <c r="E301" s="231" t="str">
        <f>IFERROR(INDEX(Servicios!$B:$B,MATCH($D301,Servicios!$A:$A,0)),"")</f>
        <v>Corte dama</v>
      </c>
      <c r="F301" s="166" t="s">
        <v>278</v>
      </c>
      <c r="G301" s="166" t="s">
        <v>43</v>
      </c>
      <c r="H301" s="230">
        <f>IFERROR(INDEX(Servicios!$D:$D,MATCH($D301,Servicios!$A:$A,0)),0)</f>
        <v>45</v>
      </c>
      <c r="I301" s="226">
        <f>IFERROR(INDEX(Servicios!$E:$E,MATCH($D301,Servicios!$A:$A,0)),0)</f>
        <v>45000</v>
      </c>
      <c r="J301" s="156"/>
      <c r="K301" s="226">
        <f t="shared" si="9"/>
        <v>45000</v>
      </c>
      <c r="L301" s="226">
        <f>IFERROR(K301*IFERROR(INDEX(Servicios!$G:$G,MATCH($D301,Servicios!$A:$A,0)),0),0)</f>
        <v>13500</v>
      </c>
      <c r="M301" s="226">
        <f>IFERROR(K301-L301-IFERROR(INDEX(Servicios!$F:$F,MATCH($D301,Servicios!$A:$A,0)),0),0)</f>
        <v>30840</v>
      </c>
    </row>
    <row r="302" spans="1:13" ht="15" customHeight="1" x14ac:dyDescent="0.3">
      <c r="A302" s="165">
        <v>46220</v>
      </c>
      <c r="B302" s="231" t="str">
        <f t="shared" si="8"/>
        <v>vie</v>
      </c>
      <c r="C302" s="166" t="s">
        <v>101</v>
      </c>
      <c r="D302" s="166" t="s">
        <v>128</v>
      </c>
      <c r="E302" s="231" t="str">
        <f>IFERROR(INDEX(Servicios!$B:$B,MATCH($D302,Servicios!$A:$A,0)),"")</f>
        <v>Corte caballero</v>
      </c>
      <c r="F302" s="166" t="s">
        <v>285</v>
      </c>
      <c r="G302" s="166" t="s">
        <v>41</v>
      </c>
      <c r="H302" s="230">
        <f>IFERROR(INDEX(Servicios!$D:$D,MATCH($D302,Servicios!$A:$A,0)),0)</f>
        <v>30</v>
      </c>
      <c r="I302" s="226">
        <f>IFERROR(INDEX(Servicios!$E:$E,MATCH($D302,Servicios!$A:$A,0)),0)</f>
        <v>28000</v>
      </c>
      <c r="J302" s="156"/>
      <c r="K302" s="226">
        <f t="shared" si="9"/>
        <v>28000</v>
      </c>
      <c r="L302" s="226">
        <f>IFERROR(K302*IFERROR(INDEX(Servicios!$G:$G,MATCH($D302,Servicios!$A:$A,0)),0),0)</f>
        <v>8400</v>
      </c>
      <c r="M302" s="226">
        <f>IFERROR(K302-L302-IFERROR(INDEX(Servicios!$F:$F,MATCH($D302,Servicios!$A:$A,0)),0),0)</f>
        <v>19160</v>
      </c>
    </row>
    <row r="303" spans="1:13" ht="15" customHeight="1" x14ac:dyDescent="0.3">
      <c r="A303" s="165">
        <v>46220</v>
      </c>
      <c r="B303" s="231" t="str">
        <f t="shared" si="8"/>
        <v>vie</v>
      </c>
      <c r="C303" s="166" t="s">
        <v>101</v>
      </c>
      <c r="D303" s="166" t="s">
        <v>128</v>
      </c>
      <c r="E303" s="231" t="str">
        <f>IFERROR(INDEX(Servicios!$B:$B,MATCH($D303,Servicios!$A:$A,0)),"")</f>
        <v>Corte caballero</v>
      </c>
      <c r="F303" s="166" t="s">
        <v>244</v>
      </c>
      <c r="G303" s="166" t="s">
        <v>43</v>
      </c>
      <c r="H303" s="230">
        <f>IFERROR(INDEX(Servicios!$D:$D,MATCH($D303,Servicios!$A:$A,0)),0)</f>
        <v>30</v>
      </c>
      <c r="I303" s="226">
        <f>IFERROR(INDEX(Servicios!$E:$E,MATCH($D303,Servicios!$A:$A,0)),0)</f>
        <v>28000</v>
      </c>
      <c r="J303" s="156"/>
      <c r="K303" s="226">
        <f t="shared" si="9"/>
        <v>28000</v>
      </c>
      <c r="L303" s="226">
        <f>IFERROR(K303*IFERROR(INDEX(Servicios!$G:$G,MATCH($D303,Servicios!$A:$A,0)),0),0)</f>
        <v>8400</v>
      </c>
      <c r="M303" s="226">
        <f>IFERROR(K303-L303-IFERROR(INDEX(Servicios!$F:$F,MATCH($D303,Servicios!$A:$A,0)),0),0)</f>
        <v>19160</v>
      </c>
    </row>
    <row r="304" spans="1:13" ht="15" customHeight="1" x14ac:dyDescent="0.3">
      <c r="A304" s="165">
        <v>46220</v>
      </c>
      <c r="B304" s="231" t="str">
        <f t="shared" si="8"/>
        <v>vie</v>
      </c>
      <c r="C304" s="166" t="s">
        <v>101</v>
      </c>
      <c r="D304" s="166" t="s">
        <v>144</v>
      </c>
      <c r="E304" s="231" t="str">
        <f>IFERROR(INDEX(Servicios!$B:$B,MATCH($D304,Servicios!$A:$A,0)),"")</f>
        <v>Cepillado y secado</v>
      </c>
      <c r="F304" s="166" t="s">
        <v>287</v>
      </c>
      <c r="G304" s="166" t="s">
        <v>41</v>
      </c>
      <c r="H304" s="230">
        <f>IFERROR(INDEX(Servicios!$D:$D,MATCH($D304,Servicios!$A:$A,0)),0)</f>
        <v>30</v>
      </c>
      <c r="I304" s="226">
        <f>IFERROR(INDEX(Servicios!$E:$E,MATCH($D304,Servicios!$A:$A,0)),0)</f>
        <v>38000</v>
      </c>
      <c r="J304" s="156"/>
      <c r="K304" s="226">
        <f t="shared" si="9"/>
        <v>38000</v>
      </c>
      <c r="L304" s="226">
        <f>IFERROR(K304*IFERROR(INDEX(Servicios!$G:$G,MATCH($D304,Servicios!$A:$A,0)),0),0)</f>
        <v>11400</v>
      </c>
      <c r="M304" s="226">
        <f>IFERROR(K304-L304-IFERROR(INDEX(Servicios!$F:$F,MATCH($D304,Servicios!$A:$A,0)),0),0)</f>
        <v>26600</v>
      </c>
    </row>
    <row r="305" spans="1:13" ht="15" customHeight="1" x14ac:dyDescent="0.3">
      <c r="A305" s="165">
        <v>46220</v>
      </c>
      <c r="B305" s="231" t="str">
        <f t="shared" si="8"/>
        <v>vie</v>
      </c>
      <c r="C305" s="166" t="s">
        <v>104</v>
      </c>
      <c r="D305" s="166" t="s">
        <v>130</v>
      </c>
      <c r="E305" s="231" t="str">
        <f>IFERROR(INDEX(Servicios!$B:$B,MATCH($D305,Servicios!$A:$A,0)),"")</f>
        <v>Coloración raíz</v>
      </c>
      <c r="F305" s="166" t="s">
        <v>230</v>
      </c>
      <c r="G305" s="166" t="s">
        <v>41</v>
      </c>
      <c r="H305" s="230">
        <f>IFERROR(INDEX(Servicios!$D:$D,MATCH($D305,Servicios!$A:$A,0)),0)</f>
        <v>90</v>
      </c>
      <c r="I305" s="226">
        <f>IFERROR(INDEX(Servicios!$E:$E,MATCH($D305,Servicios!$A:$A,0)),0)</f>
        <v>120000</v>
      </c>
      <c r="J305" s="156"/>
      <c r="K305" s="226">
        <f t="shared" si="9"/>
        <v>120000</v>
      </c>
      <c r="L305" s="226">
        <f>IFERROR(K305*IFERROR(INDEX(Servicios!$G:$G,MATCH($D305,Servicios!$A:$A,0)),0),0)</f>
        <v>42000</v>
      </c>
      <c r="M305" s="226">
        <f>IFERROR(K305-L305-IFERROR(INDEX(Servicios!$F:$F,MATCH($D305,Servicios!$A:$A,0)),0),0)</f>
        <v>72645</v>
      </c>
    </row>
    <row r="306" spans="1:13" ht="15" customHeight="1" x14ac:dyDescent="0.3">
      <c r="A306" s="165">
        <v>46220</v>
      </c>
      <c r="B306" s="231" t="str">
        <f t="shared" si="8"/>
        <v>vie</v>
      </c>
      <c r="C306" s="166" t="s">
        <v>104</v>
      </c>
      <c r="D306" s="166" t="s">
        <v>130</v>
      </c>
      <c r="E306" s="231" t="str">
        <f>IFERROR(INDEX(Servicios!$B:$B,MATCH($D306,Servicios!$A:$A,0)),"")</f>
        <v>Coloración raíz</v>
      </c>
      <c r="F306" s="166" t="s">
        <v>232</v>
      </c>
      <c r="G306" s="166" t="s">
        <v>41</v>
      </c>
      <c r="H306" s="230">
        <f>IFERROR(INDEX(Servicios!$D:$D,MATCH($D306,Servicios!$A:$A,0)),0)</f>
        <v>90</v>
      </c>
      <c r="I306" s="226">
        <f>IFERROR(INDEX(Servicios!$E:$E,MATCH($D306,Servicios!$A:$A,0)),0)</f>
        <v>120000</v>
      </c>
      <c r="J306" s="156"/>
      <c r="K306" s="226">
        <f t="shared" si="9"/>
        <v>120000</v>
      </c>
      <c r="L306" s="226">
        <f>IFERROR(K306*IFERROR(INDEX(Servicios!$G:$G,MATCH($D306,Servicios!$A:$A,0)),0),0)</f>
        <v>42000</v>
      </c>
      <c r="M306" s="226">
        <f>IFERROR(K306-L306-IFERROR(INDEX(Servicios!$F:$F,MATCH($D306,Servicios!$A:$A,0)),0),0)</f>
        <v>72645</v>
      </c>
    </row>
    <row r="307" spans="1:13" ht="15" customHeight="1" x14ac:dyDescent="0.3">
      <c r="A307" s="165">
        <v>46220</v>
      </c>
      <c r="B307" s="231" t="str">
        <f t="shared" si="8"/>
        <v>vie</v>
      </c>
      <c r="C307" s="166" t="s">
        <v>104</v>
      </c>
      <c r="D307" s="166" t="s">
        <v>130</v>
      </c>
      <c r="E307" s="231" t="str">
        <f>IFERROR(INDEX(Servicios!$B:$B,MATCH($D307,Servicios!$A:$A,0)),"")</f>
        <v>Coloración raíz</v>
      </c>
      <c r="F307" s="166" t="s">
        <v>255</v>
      </c>
      <c r="G307" s="166" t="s">
        <v>41</v>
      </c>
      <c r="H307" s="230">
        <f>IFERROR(INDEX(Servicios!$D:$D,MATCH($D307,Servicios!$A:$A,0)),0)</f>
        <v>90</v>
      </c>
      <c r="I307" s="226">
        <f>IFERROR(INDEX(Servicios!$E:$E,MATCH($D307,Servicios!$A:$A,0)),0)</f>
        <v>120000</v>
      </c>
      <c r="J307" s="156"/>
      <c r="K307" s="226">
        <f t="shared" si="9"/>
        <v>120000</v>
      </c>
      <c r="L307" s="226">
        <f>IFERROR(K307*IFERROR(INDEX(Servicios!$G:$G,MATCH($D307,Servicios!$A:$A,0)),0),0)</f>
        <v>42000</v>
      </c>
      <c r="M307" s="226">
        <f>IFERROR(K307-L307-IFERROR(INDEX(Servicios!$F:$F,MATCH($D307,Servicios!$A:$A,0)),0),0)</f>
        <v>72645</v>
      </c>
    </row>
    <row r="308" spans="1:13" ht="15" customHeight="1" x14ac:dyDescent="0.3">
      <c r="A308" s="165">
        <v>46220</v>
      </c>
      <c r="B308" s="231" t="str">
        <f t="shared" si="8"/>
        <v>vie</v>
      </c>
      <c r="C308" s="166" t="s">
        <v>107</v>
      </c>
      <c r="D308" s="166" t="s">
        <v>138</v>
      </c>
      <c r="E308" s="231" t="str">
        <f>IFERROR(INDEX(Servicios!$B:$B,MATCH($D308,Servicios!$A:$A,0)),"")</f>
        <v>Manicure</v>
      </c>
      <c r="F308" s="166" t="s">
        <v>268</v>
      </c>
      <c r="G308" s="166" t="s">
        <v>41</v>
      </c>
      <c r="H308" s="230">
        <f>IFERROR(INDEX(Servicios!$D:$D,MATCH($D308,Servicios!$A:$A,0)),0)</f>
        <v>45</v>
      </c>
      <c r="I308" s="226">
        <f>IFERROR(INDEX(Servicios!$E:$E,MATCH($D308,Servicios!$A:$A,0)),0)</f>
        <v>35000</v>
      </c>
      <c r="J308" s="156"/>
      <c r="K308" s="226">
        <f t="shared" si="9"/>
        <v>35000</v>
      </c>
      <c r="L308" s="226">
        <f>IFERROR(K308*IFERROR(INDEX(Servicios!$G:$G,MATCH($D308,Servicios!$A:$A,0)),0),0)</f>
        <v>8750</v>
      </c>
      <c r="M308" s="226">
        <f>IFERROR(K308-L308-IFERROR(INDEX(Servicios!$F:$F,MATCH($D308,Servicios!$A:$A,0)),0),0)</f>
        <v>25740</v>
      </c>
    </row>
    <row r="309" spans="1:13" ht="15" customHeight="1" x14ac:dyDescent="0.3">
      <c r="A309" s="165">
        <v>46220</v>
      </c>
      <c r="B309" s="231" t="str">
        <f t="shared" si="8"/>
        <v>vie</v>
      </c>
      <c r="C309" s="166" t="s">
        <v>107</v>
      </c>
      <c r="D309" s="166" t="s">
        <v>138</v>
      </c>
      <c r="E309" s="231" t="str">
        <f>IFERROR(INDEX(Servicios!$B:$B,MATCH($D309,Servicios!$A:$A,0)),"")</f>
        <v>Manicure</v>
      </c>
      <c r="F309" s="166" t="s">
        <v>242</v>
      </c>
      <c r="G309" s="166" t="s">
        <v>41</v>
      </c>
      <c r="H309" s="230">
        <f>IFERROR(INDEX(Servicios!$D:$D,MATCH($D309,Servicios!$A:$A,0)),0)</f>
        <v>45</v>
      </c>
      <c r="I309" s="226">
        <f>IFERROR(INDEX(Servicios!$E:$E,MATCH($D309,Servicios!$A:$A,0)),0)</f>
        <v>35000</v>
      </c>
      <c r="J309" s="156"/>
      <c r="K309" s="226">
        <f t="shared" si="9"/>
        <v>35000</v>
      </c>
      <c r="L309" s="226">
        <f>IFERROR(K309*IFERROR(INDEX(Servicios!$G:$G,MATCH($D309,Servicios!$A:$A,0)),0),0)</f>
        <v>8750</v>
      </c>
      <c r="M309" s="226">
        <f>IFERROR(K309-L309-IFERROR(INDEX(Servicios!$F:$F,MATCH($D309,Servicios!$A:$A,0)),0),0)</f>
        <v>25740</v>
      </c>
    </row>
    <row r="310" spans="1:13" ht="15" customHeight="1" x14ac:dyDescent="0.3">
      <c r="A310" s="165">
        <v>46220</v>
      </c>
      <c r="B310" s="231" t="str">
        <f t="shared" si="8"/>
        <v>vie</v>
      </c>
      <c r="C310" s="166" t="s">
        <v>107</v>
      </c>
      <c r="D310" s="166" t="s">
        <v>138</v>
      </c>
      <c r="E310" s="231" t="str">
        <f>IFERROR(INDEX(Servicios!$B:$B,MATCH($D310,Servicios!$A:$A,0)),"")</f>
        <v>Manicure</v>
      </c>
      <c r="F310" s="166" t="s">
        <v>245</v>
      </c>
      <c r="G310" s="166" t="s">
        <v>43</v>
      </c>
      <c r="H310" s="230">
        <f>IFERROR(INDEX(Servicios!$D:$D,MATCH($D310,Servicios!$A:$A,0)),0)</f>
        <v>45</v>
      </c>
      <c r="I310" s="226">
        <f>IFERROR(INDEX(Servicios!$E:$E,MATCH($D310,Servicios!$A:$A,0)),0)</f>
        <v>35000</v>
      </c>
      <c r="J310" s="156"/>
      <c r="K310" s="226">
        <f t="shared" si="9"/>
        <v>35000</v>
      </c>
      <c r="L310" s="226">
        <f>IFERROR(K310*IFERROR(INDEX(Servicios!$G:$G,MATCH($D310,Servicios!$A:$A,0)),0),0)</f>
        <v>8750</v>
      </c>
      <c r="M310" s="226">
        <f>IFERROR(K310-L310-IFERROR(INDEX(Servicios!$F:$F,MATCH($D310,Servicios!$A:$A,0)),0),0)</f>
        <v>25740</v>
      </c>
    </row>
    <row r="311" spans="1:13" ht="15" customHeight="1" x14ac:dyDescent="0.3">
      <c r="A311" s="165">
        <v>46220</v>
      </c>
      <c r="B311" s="231" t="str">
        <f t="shared" si="8"/>
        <v>vie</v>
      </c>
      <c r="C311" s="166" t="s">
        <v>107</v>
      </c>
      <c r="D311" s="166" t="s">
        <v>138</v>
      </c>
      <c r="E311" s="231" t="str">
        <f>IFERROR(INDEX(Servicios!$B:$B,MATCH($D311,Servicios!$A:$A,0)),"")</f>
        <v>Manicure</v>
      </c>
      <c r="F311" s="166" t="s">
        <v>278</v>
      </c>
      <c r="G311" s="166" t="s">
        <v>41</v>
      </c>
      <c r="H311" s="230">
        <f>IFERROR(INDEX(Servicios!$D:$D,MATCH($D311,Servicios!$A:$A,0)),0)</f>
        <v>45</v>
      </c>
      <c r="I311" s="226">
        <f>IFERROR(INDEX(Servicios!$E:$E,MATCH($D311,Servicios!$A:$A,0)),0)</f>
        <v>35000</v>
      </c>
      <c r="J311" s="156"/>
      <c r="K311" s="226">
        <f t="shared" si="9"/>
        <v>35000</v>
      </c>
      <c r="L311" s="226">
        <f>IFERROR(K311*IFERROR(INDEX(Servicios!$G:$G,MATCH($D311,Servicios!$A:$A,0)),0),0)</f>
        <v>8750</v>
      </c>
      <c r="M311" s="226">
        <f>IFERROR(K311-L311-IFERROR(INDEX(Servicios!$F:$F,MATCH($D311,Servicios!$A:$A,0)),0),0)</f>
        <v>25740</v>
      </c>
    </row>
    <row r="312" spans="1:13" ht="15" customHeight="1" x14ac:dyDescent="0.3">
      <c r="A312" s="165">
        <v>46220</v>
      </c>
      <c r="B312" s="231" t="str">
        <f t="shared" si="8"/>
        <v>vie</v>
      </c>
      <c r="C312" s="166" t="s">
        <v>107</v>
      </c>
      <c r="D312" s="166" t="s">
        <v>138</v>
      </c>
      <c r="E312" s="231" t="str">
        <f>IFERROR(INDEX(Servicios!$B:$B,MATCH($D312,Servicios!$A:$A,0)),"")</f>
        <v>Manicure</v>
      </c>
      <c r="F312" s="166" t="s">
        <v>270</v>
      </c>
      <c r="G312" s="166" t="s">
        <v>41</v>
      </c>
      <c r="H312" s="230">
        <f>IFERROR(INDEX(Servicios!$D:$D,MATCH($D312,Servicios!$A:$A,0)),0)</f>
        <v>45</v>
      </c>
      <c r="I312" s="226">
        <f>IFERROR(INDEX(Servicios!$E:$E,MATCH($D312,Servicios!$A:$A,0)),0)</f>
        <v>35000</v>
      </c>
      <c r="J312" s="156"/>
      <c r="K312" s="226">
        <f t="shared" si="9"/>
        <v>35000</v>
      </c>
      <c r="L312" s="226">
        <f>IFERROR(K312*IFERROR(INDEX(Servicios!$G:$G,MATCH($D312,Servicios!$A:$A,0)),0),0)</f>
        <v>8750</v>
      </c>
      <c r="M312" s="226">
        <f>IFERROR(K312-L312-IFERROR(INDEX(Servicios!$F:$F,MATCH($D312,Servicios!$A:$A,0)),0),0)</f>
        <v>25740</v>
      </c>
    </row>
    <row r="313" spans="1:13" ht="15" customHeight="1" x14ac:dyDescent="0.3">
      <c r="A313" s="165">
        <v>46220</v>
      </c>
      <c r="B313" s="231" t="str">
        <f t="shared" si="8"/>
        <v>vie</v>
      </c>
      <c r="C313" s="166" t="s">
        <v>107</v>
      </c>
      <c r="D313" s="166" t="s">
        <v>138</v>
      </c>
      <c r="E313" s="231" t="str">
        <f>IFERROR(INDEX(Servicios!$B:$B,MATCH($D313,Servicios!$A:$A,0)),"")</f>
        <v>Manicure</v>
      </c>
      <c r="F313" s="166" t="s">
        <v>229</v>
      </c>
      <c r="G313" s="166" t="s">
        <v>43</v>
      </c>
      <c r="H313" s="230">
        <f>IFERROR(INDEX(Servicios!$D:$D,MATCH($D313,Servicios!$A:$A,0)),0)</f>
        <v>45</v>
      </c>
      <c r="I313" s="226">
        <f>IFERROR(INDEX(Servicios!$E:$E,MATCH($D313,Servicios!$A:$A,0)),0)</f>
        <v>35000</v>
      </c>
      <c r="J313" s="156"/>
      <c r="K313" s="226">
        <f t="shared" si="9"/>
        <v>35000</v>
      </c>
      <c r="L313" s="226">
        <f>IFERROR(K313*IFERROR(INDEX(Servicios!$G:$G,MATCH($D313,Servicios!$A:$A,0)),0),0)</f>
        <v>8750</v>
      </c>
      <c r="M313" s="226">
        <f>IFERROR(K313-L313-IFERROR(INDEX(Servicios!$F:$F,MATCH($D313,Servicios!$A:$A,0)),0),0)</f>
        <v>25740</v>
      </c>
    </row>
    <row r="314" spans="1:13" ht="15" customHeight="1" x14ac:dyDescent="0.3">
      <c r="A314" s="165">
        <v>46221</v>
      </c>
      <c r="B314" s="231" t="str">
        <f t="shared" si="8"/>
        <v>sáb</v>
      </c>
      <c r="C314" s="166" t="s">
        <v>98</v>
      </c>
      <c r="D314" s="166" t="s">
        <v>125</v>
      </c>
      <c r="E314" s="231" t="str">
        <f>IFERROR(INDEX(Servicios!$B:$B,MATCH($D314,Servicios!$A:$A,0)),"")</f>
        <v>Corte dama</v>
      </c>
      <c r="F314" s="166" t="s">
        <v>261</v>
      </c>
      <c r="G314" s="166" t="s">
        <v>41</v>
      </c>
      <c r="H314" s="230">
        <f>IFERROR(INDEX(Servicios!$D:$D,MATCH($D314,Servicios!$A:$A,0)),0)</f>
        <v>45</v>
      </c>
      <c r="I314" s="226">
        <f>IFERROR(INDEX(Servicios!$E:$E,MATCH($D314,Servicios!$A:$A,0)),0)</f>
        <v>45000</v>
      </c>
      <c r="J314" s="156"/>
      <c r="K314" s="226">
        <f t="shared" si="9"/>
        <v>45000</v>
      </c>
      <c r="L314" s="226">
        <f>IFERROR(K314*IFERROR(INDEX(Servicios!$G:$G,MATCH($D314,Servicios!$A:$A,0)),0),0)</f>
        <v>13500</v>
      </c>
      <c r="M314" s="226">
        <f>IFERROR(K314-L314-IFERROR(INDEX(Servicios!$F:$F,MATCH($D314,Servicios!$A:$A,0)),0),0)</f>
        <v>30840</v>
      </c>
    </row>
    <row r="315" spans="1:13" ht="15" customHeight="1" x14ac:dyDescent="0.3">
      <c r="A315" s="165">
        <v>46221</v>
      </c>
      <c r="B315" s="231" t="str">
        <f t="shared" si="8"/>
        <v>sáb</v>
      </c>
      <c r="C315" s="166" t="s">
        <v>98</v>
      </c>
      <c r="D315" s="166" t="s">
        <v>128</v>
      </c>
      <c r="E315" s="231" t="str">
        <f>IFERROR(INDEX(Servicios!$B:$B,MATCH($D315,Servicios!$A:$A,0)),"")</f>
        <v>Corte caballero</v>
      </c>
      <c r="F315" s="166" t="s">
        <v>244</v>
      </c>
      <c r="G315" s="166" t="s">
        <v>41</v>
      </c>
      <c r="H315" s="230">
        <f>IFERROR(INDEX(Servicios!$D:$D,MATCH($D315,Servicios!$A:$A,0)),0)</f>
        <v>30</v>
      </c>
      <c r="I315" s="226">
        <f>IFERROR(INDEX(Servicios!$E:$E,MATCH($D315,Servicios!$A:$A,0)),0)</f>
        <v>28000</v>
      </c>
      <c r="J315" s="156"/>
      <c r="K315" s="226">
        <f t="shared" si="9"/>
        <v>28000</v>
      </c>
      <c r="L315" s="226">
        <f>IFERROR(K315*IFERROR(INDEX(Servicios!$G:$G,MATCH($D315,Servicios!$A:$A,0)),0),0)</f>
        <v>8400</v>
      </c>
      <c r="M315" s="226">
        <f>IFERROR(K315-L315-IFERROR(INDEX(Servicios!$F:$F,MATCH($D315,Servicios!$A:$A,0)),0),0)</f>
        <v>19160</v>
      </c>
    </row>
    <row r="316" spans="1:13" ht="15" customHeight="1" x14ac:dyDescent="0.3">
      <c r="A316" s="165">
        <v>46221</v>
      </c>
      <c r="B316" s="231" t="str">
        <f t="shared" si="8"/>
        <v>sáb</v>
      </c>
      <c r="C316" s="166" t="s">
        <v>98</v>
      </c>
      <c r="D316" s="166" t="s">
        <v>128</v>
      </c>
      <c r="E316" s="231" t="str">
        <f>IFERROR(INDEX(Servicios!$B:$B,MATCH($D316,Servicios!$A:$A,0)),"")</f>
        <v>Corte caballero</v>
      </c>
      <c r="F316" s="166" t="s">
        <v>252</v>
      </c>
      <c r="G316" s="166" t="s">
        <v>41</v>
      </c>
      <c r="H316" s="230">
        <f>IFERROR(INDEX(Servicios!$D:$D,MATCH($D316,Servicios!$A:$A,0)),0)</f>
        <v>30</v>
      </c>
      <c r="I316" s="226">
        <f>IFERROR(INDEX(Servicios!$E:$E,MATCH($D316,Servicios!$A:$A,0)),0)</f>
        <v>28000</v>
      </c>
      <c r="J316" s="156"/>
      <c r="K316" s="226">
        <f t="shared" si="9"/>
        <v>28000</v>
      </c>
      <c r="L316" s="226">
        <f>IFERROR(K316*IFERROR(INDEX(Servicios!$G:$G,MATCH($D316,Servicios!$A:$A,0)),0),0)</f>
        <v>8400</v>
      </c>
      <c r="M316" s="226">
        <f>IFERROR(K316-L316-IFERROR(INDEX(Servicios!$F:$F,MATCH($D316,Servicios!$A:$A,0)),0),0)</f>
        <v>19160</v>
      </c>
    </row>
    <row r="317" spans="1:13" ht="15" customHeight="1" x14ac:dyDescent="0.3">
      <c r="A317" s="165">
        <v>46221</v>
      </c>
      <c r="B317" s="231" t="str">
        <f t="shared" si="8"/>
        <v>sáb</v>
      </c>
      <c r="C317" s="166" t="s">
        <v>98</v>
      </c>
      <c r="D317" s="166" t="s">
        <v>125</v>
      </c>
      <c r="E317" s="231" t="str">
        <f>IFERROR(INDEX(Servicios!$B:$B,MATCH($D317,Servicios!$A:$A,0)),"")</f>
        <v>Corte dama</v>
      </c>
      <c r="F317" s="166" t="s">
        <v>225</v>
      </c>
      <c r="G317" s="166" t="s">
        <v>43</v>
      </c>
      <c r="H317" s="230">
        <f>IFERROR(INDEX(Servicios!$D:$D,MATCH($D317,Servicios!$A:$A,0)),0)</f>
        <v>45</v>
      </c>
      <c r="I317" s="226">
        <f>IFERROR(INDEX(Servicios!$E:$E,MATCH($D317,Servicios!$A:$A,0)),0)</f>
        <v>45000</v>
      </c>
      <c r="J317" s="156"/>
      <c r="K317" s="226">
        <f t="shared" si="9"/>
        <v>45000</v>
      </c>
      <c r="L317" s="226">
        <f>IFERROR(K317*IFERROR(INDEX(Servicios!$G:$G,MATCH($D317,Servicios!$A:$A,0)),0),0)</f>
        <v>13500</v>
      </c>
      <c r="M317" s="226">
        <f>IFERROR(K317-L317-IFERROR(INDEX(Servicios!$F:$F,MATCH($D317,Servicios!$A:$A,0)),0),0)</f>
        <v>30840</v>
      </c>
    </row>
    <row r="318" spans="1:13" ht="15" customHeight="1" x14ac:dyDescent="0.3">
      <c r="A318" s="165">
        <v>46221</v>
      </c>
      <c r="B318" s="231" t="str">
        <f t="shared" si="8"/>
        <v>sáb</v>
      </c>
      <c r="C318" s="166" t="s">
        <v>98</v>
      </c>
      <c r="D318" s="166" t="s">
        <v>125</v>
      </c>
      <c r="E318" s="231" t="str">
        <f>IFERROR(INDEX(Servicios!$B:$B,MATCH($D318,Servicios!$A:$A,0)),"")</f>
        <v>Corte dama</v>
      </c>
      <c r="F318" s="166" t="s">
        <v>243</v>
      </c>
      <c r="G318" s="166" t="s">
        <v>41</v>
      </c>
      <c r="H318" s="230">
        <f>IFERROR(INDEX(Servicios!$D:$D,MATCH($D318,Servicios!$A:$A,0)),0)</f>
        <v>45</v>
      </c>
      <c r="I318" s="226">
        <f>IFERROR(INDEX(Servicios!$E:$E,MATCH($D318,Servicios!$A:$A,0)),0)</f>
        <v>45000</v>
      </c>
      <c r="J318" s="156"/>
      <c r="K318" s="226">
        <f t="shared" si="9"/>
        <v>45000</v>
      </c>
      <c r="L318" s="226">
        <f>IFERROR(K318*IFERROR(INDEX(Servicios!$G:$G,MATCH($D318,Servicios!$A:$A,0)),0),0)</f>
        <v>13500</v>
      </c>
      <c r="M318" s="226">
        <f>IFERROR(K318-L318-IFERROR(INDEX(Servicios!$F:$F,MATCH($D318,Servicios!$A:$A,0)),0),0)</f>
        <v>30840</v>
      </c>
    </row>
    <row r="319" spans="1:13" ht="15" customHeight="1" x14ac:dyDescent="0.3">
      <c r="A319" s="165">
        <v>46221</v>
      </c>
      <c r="B319" s="231" t="str">
        <f t="shared" si="8"/>
        <v>sáb</v>
      </c>
      <c r="C319" s="166" t="s">
        <v>98</v>
      </c>
      <c r="D319" s="166" t="s">
        <v>125</v>
      </c>
      <c r="E319" s="231" t="str">
        <f>IFERROR(INDEX(Servicios!$B:$B,MATCH($D319,Servicios!$A:$A,0)),"")</f>
        <v>Corte dama</v>
      </c>
      <c r="F319" s="166" t="s">
        <v>260</v>
      </c>
      <c r="G319" s="166" t="s">
        <v>41</v>
      </c>
      <c r="H319" s="230">
        <f>IFERROR(INDEX(Servicios!$D:$D,MATCH($D319,Servicios!$A:$A,0)),0)</f>
        <v>45</v>
      </c>
      <c r="I319" s="226">
        <f>IFERROR(INDEX(Servicios!$E:$E,MATCH($D319,Servicios!$A:$A,0)),0)</f>
        <v>45000</v>
      </c>
      <c r="J319" s="156"/>
      <c r="K319" s="226">
        <f t="shared" si="9"/>
        <v>45000</v>
      </c>
      <c r="L319" s="226">
        <f>IFERROR(K319*IFERROR(INDEX(Servicios!$G:$G,MATCH($D319,Servicios!$A:$A,0)),0),0)</f>
        <v>13500</v>
      </c>
      <c r="M319" s="226">
        <f>IFERROR(K319-L319-IFERROR(INDEX(Servicios!$F:$F,MATCH($D319,Servicios!$A:$A,0)),0),0)</f>
        <v>30840</v>
      </c>
    </row>
    <row r="320" spans="1:13" ht="15" customHeight="1" x14ac:dyDescent="0.3">
      <c r="A320" s="165">
        <v>46221</v>
      </c>
      <c r="B320" s="231" t="str">
        <f t="shared" si="8"/>
        <v>sáb</v>
      </c>
      <c r="C320" s="166" t="s">
        <v>98</v>
      </c>
      <c r="D320" s="166" t="s">
        <v>125</v>
      </c>
      <c r="E320" s="231" t="str">
        <f>IFERROR(INDEX(Servicios!$B:$B,MATCH($D320,Servicios!$A:$A,0)),"")</f>
        <v>Corte dama</v>
      </c>
      <c r="F320" s="166" t="s">
        <v>273</v>
      </c>
      <c r="G320" s="166" t="s">
        <v>43</v>
      </c>
      <c r="H320" s="230">
        <f>IFERROR(INDEX(Servicios!$D:$D,MATCH($D320,Servicios!$A:$A,0)),0)</f>
        <v>45</v>
      </c>
      <c r="I320" s="226">
        <f>IFERROR(INDEX(Servicios!$E:$E,MATCH($D320,Servicios!$A:$A,0)),0)</f>
        <v>45000</v>
      </c>
      <c r="J320" s="156"/>
      <c r="K320" s="226">
        <f t="shared" si="9"/>
        <v>45000</v>
      </c>
      <c r="L320" s="226">
        <f>IFERROR(K320*IFERROR(INDEX(Servicios!$G:$G,MATCH($D320,Servicios!$A:$A,0)),0),0)</f>
        <v>13500</v>
      </c>
      <c r="M320" s="226">
        <f>IFERROR(K320-L320-IFERROR(INDEX(Servicios!$F:$F,MATCH($D320,Servicios!$A:$A,0)),0),0)</f>
        <v>30840</v>
      </c>
    </row>
    <row r="321" spans="1:13" ht="15" customHeight="1" x14ac:dyDescent="0.3">
      <c r="A321" s="165">
        <v>46221</v>
      </c>
      <c r="B321" s="231" t="str">
        <f t="shared" si="8"/>
        <v>sáb</v>
      </c>
      <c r="C321" s="166" t="s">
        <v>98</v>
      </c>
      <c r="D321" s="166" t="s">
        <v>125</v>
      </c>
      <c r="E321" s="231" t="str">
        <f>IFERROR(INDEX(Servicios!$B:$B,MATCH($D321,Servicios!$A:$A,0)),"")</f>
        <v>Corte dama</v>
      </c>
      <c r="F321" s="166" t="s">
        <v>248</v>
      </c>
      <c r="G321" s="166" t="s">
        <v>43</v>
      </c>
      <c r="H321" s="230">
        <f>IFERROR(INDEX(Servicios!$D:$D,MATCH($D321,Servicios!$A:$A,0)),0)</f>
        <v>45</v>
      </c>
      <c r="I321" s="226">
        <f>IFERROR(INDEX(Servicios!$E:$E,MATCH($D321,Servicios!$A:$A,0)),0)</f>
        <v>45000</v>
      </c>
      <c r="J321" s="156"/>
      <c r="K321" s="226">
        <f t="shared" si="9"/>
        <v>45000</v>
      </c>
      <c r="L321" s="226">
        <f>IFERROR(K321*IFERROR(INDEX(Servicios!$G:$G,MATCH($D321,Servicios!$A:$A,0)),0),0)</f>
        <v>13500</v>
      </c>
      <c r="M321" s="226">
        <f>IFERROR(K321-L321-IFERROR(INDEX(Servicios!$F:$F,MATCH($D321,Servicios!$A:$A,0)),0),0)</f>
        <v>30840</v>
      </c>
    </row>
    <row r="322" spans="1:13" ht="15" customHeight="1" x14ac:dyDescent="0.3">
      <c r="A322" s="165">
        <v>46221</v>
      </c>
      <c r="B322" s="231" t="str">
        <f t="shared" si="8"/>
        <v>sáb</v>
      </c>
      <c r="C322" s="166" t="s">
        <v>98</v>
      </c>
      <c r="D322" s="166" t="s">
        <v>125</v>
      </c>
      <c r="E322" s="231" t="str">
        <f>IFERROR(INDEX(Servicios!$B:$B,MATCH($D322,Servicios!$A:$A,0)),"")</f>
        <v>Corte dama</v>
      </c>
      <c r="F322" s="166" t="s">
        <v>286</v>
      </c>
      <c r="G322" s="166" t="s">
        <v>43</v>
      </c>
      <c r="H322" s="230">
        <f>IFERROR(INDEX(Servicios!$D:$D,MATCH($D322,Servicios!$A:$A,0)),0)</f>
        <v>45</v>
      </c>
      <c r="I322" s="226">
        <f>IFERROR(INDEX(Servicios!$E:$E,MATCH($D322,Servicios!$A:$A,0)),0)</f>
        <v>45000</v>
      </c>
      <c r="J322" s="156"/>
      <c r="K322" s="226">
        <f t="shared" si="9"/>
        <v>45000</v>
      </c>
      <c r="L322" s="226">
        <f>IFERROR(K322*IFERROR(INDEX(Servicios!$G:$G,MATCH($D322,Servicios!$A:$A,0)),0),0)</f>
        <v>13500</v>
      </c>
      <c r="M322" s="226">
        <f>IFERROR(K322-L322-IFERROR(INDEX(Servicios!$F:$F,MATCH($D322,Servicios!$A:$A,0)),0),0)</f>
        <v>30840</v>
      </c>
    </row>
    <row r="323" spans="1:13" ht="15" customHeight="1" x14ac:dyDescent="0.3">
      <c r="A323" s="165">
        <v>46221</v>
      </c>
      <c r="B323" s="231" t="str">
        <f t="shared" si="8"/>
        <v>sáb</v>
      </c>
      <c r="C323" s="166" t="s">
        <v>101</v>
      </c>
      <c r="D323" s="166" t="s">
        <v>125</v>
      </c>
      <c r="E323" s="231" t="str">
        <f>IFERROR(INDEX(Servicios!$B:$B,MATCH($D323,Servicios!$A:$A,0)),"")</f>
        <v>Corte dama</v>
      </c>
      <c r="F323" s="166" t="s">
        <v>277</v>
      </c>
      <c r="G323" s="166" t="s">
        <v>41</v>
      </c>
      <c r="H323" s="230">
        <f>IFERROR(INDEX(Servicios!$D:$D,MATCH($D323,Servicios!$A:$A,0)),0)</f>
        <v>45</v>
      </c>
      <c r="I323" s="226">
        <f>IFERROR(INDEX(Servicios!$E:$E,MATCH($D323,Servicios!$A:$A,0)),0)</f>
        <v>45000</v>
      </c>
      <c r="J323" s="156"/>
      <c r="K323" s="226">
        <f t="shared" si="9"/>
        <v>45000</v>
      </c>
      <c r="L323" s="226">
        <f>IFERROR(K323*IFERROR(INDEX(Servicios!$G:$G,MATCH($D323,Servicios!$A:$A,0)),0),0)</f>
        <v>13500</v>
      </c>
      <c r="M323" s="226">
        <f>IFERROR(K323-L323-IFERROR(INDEX(Servicios!$F:$F,MATCH($D323,Servicios!$A:$A,0)),0),0)</f>
        <v>30840</v>
      </c>
    </row>
    <row r="324" spans="1:13" ht="15" customHeight="1" x14ac:dyDescent="0.3">
      <c r="A324" s="165">
        <v>46221</v>
      </c>
      <c r="B324" s="231" t="str">
        <f t="shared" si="8"/>
        <v>sáb</v>
      </c>
      <c r="C324" s="166" t="s">
        <v>101</v>
      </c>
      <c r="D324" s="166" t="s">
        <v>125</v>
      </c>
      <c r="E324" s="231" t="str">
        <f>IFERROR(INDEX(Servicios!$B:$B,MATCH($D324,Servicios!$A:$A,0)),"")</f>
        <v>Corte dama</v>
      </c>
      <c r="F324" s="166" t="s">
        <v>232</v>
      </c>
      <c r="G324" s="166" t="s">
        <v>43</v>
      </c>
      <c r="H324" s="230">
        <f>IFERROR(INDEX(Servicios!$D:$D,MATCH($D324,Servicios!$A:$A,0)),0)</f>
        <v>45</v>
      </c>
      <c r="I324" s="226">
        <f>IFERROR(INDEX(Servicios!$E:$E,MATCH($D324,Servicios!$A:$A,0)),0)</f>
        <v>45000</v>
      </c>
      <c r="J324" s="156"/>
      <c r="K324" s="226">
        <f t="shared" si="9"/>
        <v>45000</v>
      </c>
      <c r="L324" s="226">
        <f>IFERROR(K324*IFERROR(INDEX(Servicios!$G:$G,MATCH($D324,Servicios!$A:$A,0)),0),0)</f>
        <v>13500</v>
      </c>
      <c r="M324" s="226">
        <f>IFERROR(K324-L324-IFERROR(INDEX(Servicios!$F:$F,MATCH($D324,Servicios!$A:$A,0)),0),0)</f>
        <v>30840</v>
      </c>
    </row>
    <row r="325" spans="1:13" ht="15" customHeight="1" x14ac:dyDescent="0.3">
      <c r="A325" s="165">
        <v>46221</v>
      </c>
      <c r="B325" s="231" t="str">
        <f t="shared" ref="B325:B404" si="10">IF($A325="","",CHOOSE(WEEKDAY($A325,2),"lun","mar","mié","jue","vie","sáb","dom"))</f>
        <v>sáb</v>
      </c>
      <c r="C325" s="166" t="s">
        <v>101</v>
      </c>
      <c r="D325" s="166" t="s">
        <v>128</v>
      </c>
      <c r="E325" s="231" t="str">
        <f>IFERROR(INDEX(Servicios!$B:$B,MATCH($D325,Servicios!$A:$A,0)),"")</f>
        <v>Corte caballero</v>
      </c>
      <c r="F325" s="166" t="s">
        <v>234</v>
      </c>
      <c r="G325" s="166" t="s">
        <v>41</v>
      </c>
      <c r="H325" s="230">
        <f>IFERROR(INDEX(Servicios!$D:$D,MATCH($D325,Servicios!$A:$A,0)),0)</f>
        <v>30</v>
      </c>
      <c r="I325" s="226">
        <f>IFERROR(INDEX(Servicios!$E:$E,MATCH($D325,Servicios!$A:$A,0)),0)</f>
        <v>28000</v>
      </c>
      <c r="J325" s="156"/>
      <c r="K325" s="226">
        <f t="shared" ref="K325:K404" si="11">IFERROR(I325*(1-N(J325)),0)</f>
        <v>28000</v>
      </c>
      <c r="L325" s="226">
        <f>IFERROR(K325*IFERROR(INDEX(Servicios!$G:$G,MATCH($D325,Servicios!$A:$A,0)),0),0)</f>
        <v>8400</v>
      </c>
      <c r="M325" s="226">
        <f>IFERROR(K325-L325-IFERROR(INDEX(Servicios!$F:$F,MATCH($D325,Servicios!$A:$A,0)),0),0)</f>
        <v>19160</v>
      </c>
    </row>
    <row r="326" spans="1:13" ht="15" customHeight="1" x14ac:dyDescent="0.3">
      <c r="A326" s="165">
        <v>46221</v>
      </c>
      <c r="B326" s="231" t="str">
        <f t="shared" si="10"/>
        <v>sáb</v>
      </c>
      <c r="C326" s="166" t="s">
        <v>101</v>
      </c>
      <c r="D326" s="166" t="s">
        <v>125</v>
      </c>
      <c r="E326" s="231" t="str">
        <f>IFERROR(INDEX(Servicios!$B:$B,MATCH($D326,Servicios!$A:$A,0)),"")</f>
        <v>Corte dama</v>
      </c>
      <c r="F326" s="166" t="s">
        <v>272</v>
      </c>
      <c r="G326" s="166" t="s">
        <v>41</v>
      </c>
      <c r="H326" s="230">
        <f>IFERROR(INDEX(Servicios!$D:$D,MATCH($D326,Servicios!$A:$A,0)),0)</f>
        <v>45</v>
      </c>
      <c r="I326" s="226">
        <f>IFERROR(INDEX(Servicios!$E:$E,MATCH($D326,Servicios!$A:$A,0)),0)</f>
        <v>45000</v>
      </c>
      <c r="J326" s="156"/>
      <c r="K326" s="226">
        <f t="shared" si="11"/>
        <v>45000</v>
      </c>
      <c r="L326" s="226">
        <f>IFERROR(K326*IFERROR(INDEX(Servicios!$G:$G,MATCH($D326,Servicios!$A:$A,0)),0),0)</f>
        <v>13500</v>
      </c>
      <c r="M326" s="226">
        <f>IFERROR(K326-L326-IFERROR(INDEX(Servicios!$F:$F,MATCH($D326,Servicios!$A:$A,0)),0),0)</f>
        <v>30840</v>
      </c>
    </row>
    <row r="327" spans="1:13" ht="15" customHeight="1" x14ac:dyDescent="0.3">
      <c r="A327" s="165">
        <v>46221</v>
      </c>
      <c r="B327" s="231" t="str">
        <f t="shared" si="10"/>
        <v>sáb</v>
      </c>
      <c r="C327" s="166" t="s">
        <v>101</v>
      </c>
      <c r="D327" s="166" t="s">
        <v>144</v>
      </c>
      <c r="E327" s="231" t="str">
        <f>IFERROR(INDEX(Servicios!$B:$B,MATCH($D327,Servicios!$A:$A,0)),"")</f>
        <v>Cepillado y secado</v>
      </c>
      <c r="F327" s="166" t="s">
        <v>234</v>
      </c>
      <c r="G327" s="166" t="s">
        <v>41</v>
      </c>
      <c r="H327" s="230">
        <f>IFERROR(INDEX(Servicios!$D:$D,MATCH($D327,Servicios!$A:$A,0)),0)</f>
        <v>30</v>
      </c>
      <c r="I327" s="226">
        <f>IFERROR(INDEX(Servicios!$E:$E,MATCH($D327,Servicios!$A:$A,0)),0)</f>
        <v>38000</v>
      </c>
      <c r="J327" s="156"/>
      <c r="K327" s="226">
        <f t="shared" si="11"/>
        <v>38000</v>
      </c>
      <c r="L327" s="226">
        <f>IFERROR(K327*IFERROR(INDEX(Servicios!$G:$G,MATCH($D327,Servicios!$A:$A,0)),0),0)</f>
        <v>11400</v>
      </c>
      <c r="M327" s="226">
        <f>IFERROR(K327-L327-IFERROR(INDEX(Servicios!$F:$F,MATCH($D327,Servicios!$A:$A,0)),0),0)</f>
        <v>26600</v>
      </c>
    </row>
    <row r="328" spans="1:13" ht="15" customHeight="1" x14ac:dyDescent="0.3">
      <c r="A328" s="165">
        <v>46221</v>
      </c>
      <c r="B328" s="231" t="str">
        <f t="shared" si="10"/>
        <v>sáb</v>
      </c>
      <c r="C328" s="166" t="s">
        <v>101</v>
      </c>
      <c r="D328" s="166" t="s">
        <v>125</v>
      </c>
      <c r="E328" s="231" t="str">
        <f>IFERROR(INDEX(Servicios!$B:$B,MATCH($D328,Servicios!$A:$A,0)),"")</f>
        <v>Corte dama</v>
      </c>
      <c r="F328" s="166" t="s">
        <v>287</v>
      </c>
      <c r="G328" s="166" t="s">
        <v>43</v>
      </c>
      <c r="H328" s="230">
        <f>IFERROR(INDEX(Servicios!$D:$D,MATCH($D328,Servicios!$A:$A,0)),0)</f>
        <v>45</v>
      </c>
      <c r="I328" s="226">
        <f>IFERROR(INDEX(Servicios!$E:$E,MATCH($D328,Servicios!$A:$A,0)),0)</f>
        <v>45000</v>
      </c>
      <c r="J328" s="156"/>
      <c r="K328" s="226">
        <f t="shared" si="11"/>
        <v>45000</v>
      </c>
      <c r="L328" s="226">
        <f>IFERROR(K328*IFERROR(INDEX(Servicios!$G:$G,MATCH($D328,Servicios!$A:$A,0)),0),0)</f>
        <v>13500</v>
      </c>
      <c r="M328" s="226">
        <f>IFERROR(K328-L328-IFERROR(INDEX(Servicios!$F:$F,MATCH($D328,Servicios!$A:$A,0)),0),0)</f>
        <v>30840</v>
      </c>
    </row>
    <row r="329" spans="1:13" ht="15" customHeight="1" x14ac:dyDescent="0.3">
      <c r="A329" s="165">
        <v>46221</v>
      </c>
      <c r="B329" s="231" t="str">
        <f t="shared" si="10"/>
        <v>sáb</v>
      </c>
      <c r="C329" s="166" t="s">
        <v>101</v>
      </c>
      <c r="D329" s="166" t="s">
        <v>144</v>
      </c>
      <c r="E329" s="231" t="str">
        <f>IFERROR(INDEX(Servicios!$B:$B,MATCH($D329,Servicios!$A:$A,0)),"")</f>
        <v>Cepillado y secado</v>
      </c>
      <c r="F329" s="166" t="s">
        <v>284</v>
      </c>
      <c r="G329" s="166" t="s">
        <v>41</v>
      </c>
      <c r="H329" s="230">
        <f>IFERROR(INDEX(Servicios!$D:$D,MATCH($D329,Servicios!$A:$A,0)),0)</f>
        <v>30</v>
      </c>
      <c r="I329" s="226">
        <f>IFERROR(INDEX(Servicios!$E:$E,MATCH($D329,Servicios!$A:$A,0)),0)</f>
        <v>38000</v>
      </c>
      <c r="J329" s="156"/>
      <c r="K329" s="226">
        <f t="shared" si="11"/>
        <v>38000</v>
      </c>
      <c r="L329" s="226">
        <f>IFERROR(K329*IFERROR(INDEX(Servicios!$G:$G,MATCH($D329,Servicios!$A:$A,0)),0),0)</f>
        <v>11400</v>
      </c>
      <c r="M329" s="226">
        <f>IFERROR(K329-L329-IFERROR(INDEX(Servicios!$F:$F,MATCH($D329,Servicios!$A:$A,0)),0),0)</f>
        <v>26600</v>
      </c>
    </row>
    <row r="330" spans="1:13" ht="15" customHeight="1" x14ac:dyDescent="0.3">
      <c r="A330" s="165">
        <v>46221</v>
      </c>
      <c r="B330" s="231" t="str">
        <f t="shared" si="10"/>
        <v>sáb</v>
      </c>
      <c r="C330" s="166" t="s">
        <v>101</v>
      </c>
      <c r="D330" s="166" t="s">
        <v>125</v>
      </c>
      <c r="E330" s="231" t="str">
        <f>IFERROR(INDEX(Servicios!$B:$B,MATCH($D330,Servicios!$A:$A,0)),"")</f>
        <v>Corte dama</v>
      </c>
      <c r="F330" s="166" t="s">
        <v>280</v>
      </c>
      <c r="G330" s="166" t="s">
        <v>41</v>
      </c>
      <c r="H330" s="230">
        <f>IFERROR(INDEX(Servicios!$D:$D,MATCH($D330,Servicios!$A:$A,0)),0)</f>
        <v>45</v>
      </c>
      <c r="I330" s="226">
        <f>IFERROR(INDEX(Servicios!$E:$E,MATCH($D330,Servicios!$A:$A,0)),0)</f>
        <v>45000</v>
      </c>
      <c r="J330" s="156"/>
      <c r="K330" s="226">
        <f t="shared" si="11"/>
        <v>45000</v>
      </c>
      <c r="L330" s="226">
        <f>IFERROR(K330*IFERROR(INDEX(Servicios!$G:$G,MATCH($D330,Servicios!$A:$A,0)),0),0)</f>
        <v>13500</v>
      </c>
      <c r="M330" s="226">
        <f>IFERROR(K330-L330-IFERROR(INDEX(Servicios!$F:$F,MATCH($D330,Servicios!$A:$A,0)),0),0)</f>
        <v>30840</v>
      </c>
    </row>
    <row r="331" spans="1:13" ht="15" customHeight="1" x14ac:dyDescent="0.3">
      <c r="A331" s="165">
        <v>46221</v>
      </c>
      <c r="B331" s="231" t="str">
        <f t="shared" si="10"/>
        <v>sáb</v>
      </c>
      <c r="C331" s="166" t="s">
        <v>101</v>
      </c>
      <c r="D331" s="166" t="s">
        <v>144</v>
      </c>
      <c r="E331" s="231" t="str">
        <f>IFERROR(INDEX(Servicios!$B:$B,MATCH($D331,Servicios!$A:$A,0)),"")</f>
        <v>Cepillado y secado</v>
      </c>
      <c r="F331" s="166" t="s">
        <v>229</v>
      </c>
      <c r="G331" s="166" t="s">
        <v>43</v>
      </c>
      <c r="H331" s="230">
        <f>IFERROR(INDEX(Servicios!$D:$D,MATCH($D331,Servicios!$A:$A,0)),0)</f>
        <v>30</v>
      </c>
      <c r="I331" s="226">
        <f>IFERROR(INDEX(Servicios!$E:$E,MATCH($D331,Servicios!$A:$A,0)),0)</f>
        <v>38000</v>
      </c>
      <c r="J331" s="156"/>
      <c r="K331" s="226">
        <f t="shared" si="11"/>
        <v>38000</v>
      </c>
      <c r="L331" s="226">
        <f>IFERROR(K331*IFERROR(INDEX(Servicios!$G:$G,MATCH($D331,Servicios!$A:$A,0)),0),0)</f>
        <v>11400</v>
      </c>
      <c r="M331" s="226">
        <f>IFERROR(K331-L331-IFERROR(INDEX(Servicios!$F:$F,MATCH($D331,Servicios!$A:$A,0)),0),0)</f>
        <v>26600</v>
      </c>
    </row>
    <row r="332" spans="1:13" ht="15" customHeight="1" x14ac:dyDescent="0.3">
      <c r="A332" s="165">
        <v>46221</v>
      </c>
      <c r="B332" s="231" t="str">
        <f t="shared" si="10"/>
        <v>sáb</v>
      </c>
      <c r="C332" s="166" t="s">
        <v>101</v>
      </c>
      <c r="D332" s="166" t="s">
        <v>125</v>
      </c>
      <c r="E332" s="231" t="str">
        <f>IFERROR(INDEX(Servicios!$B:$B,MATCH($D332,Servicios!$A:$A,0)),"")</f>
        <v>Corte dama</v>
      </c>
      <c r="F332" s="166" t="s">
        <v>290</v>
      </c>
      <c r="G332" s="166" t="s">
        <v>45</v>
      </c>
      <c r="H332" s="230">
        <f>IFERROR(INDEX(Servicios!$D:$D,MATCH($D332,Servicios!$A:$A,0)),0)</f>
        <v>45</v>
      </c>
      <c r="I332" s="226">
        <f>IFERROR(INDEX(Servicios!$E:$E,MATCH($D332,Servicios!$A:$A,0)),0)</f>
        <v>45000</v>
      </c>
      <c r="J332" s="156"/>
      <c r="K332" s="226">
        <f t="shared" si="11"/>
        <v>45000</v>
      </c>
      <c r="L332" s="226">
        <f>IFERROR(K332*IFERROR(INDEX(Servicios!$G:$G,MATCH($D332,Servicios!$A:$A,0)),0),0)</f>
        <v>13500</v>
      </c>
      <c r="M332" s="226">
        <f>IFERROR(K332-L332-IFERROR(INDEX(Servicios!$F:$F,MATCH($D332,Servicios!$A:$A,0)),0),0)</f>
        <v>30840</v>
      </c>
    </row>
    <row r="333" spans="1:13" ht="15" customHeight="1" x14ac:dyDescent="0.3">
      <c r="A333" s="165">
        <v>46221</v>
      </c>
      <c r="B333" s="231" t="str">
        <f t="shared" si="10"/>
        <v>sáb</v>
      </c>
      <c r="C333" s="166" t="s">
        <v>104</v>
      </c>
      <c r="D333" s="166" t="s">
        <v>130</v>
      </c>
      <c r="E333" s="231" t="str">
        <f>IFERROR(INDEX(Servicios!$B:$B,MATCH($D333,Servicios!$A:$A,0)),"")</f>
        <v>Coloración raíz</v>
      </c>
      <c r="F333" s="166" t="s">
        <v>223</v>
      </c>
      <c r="G333" s="166" t="s">
        <v>41</v>
      </c>
      <c r="H333" s="230">
        <f>IFERROR(INDEX(Servicios!$D:$D,MATCH($D333,Servicios!$A:$A,0)),0)</f>
        <v>90</v>
      </c>
      <c r="I333" s="226">
        <f>IFERROR(INDEX(Servicios!$E:$E,MATCH($D333,Servicios!$A:$A,0)),0)</f>
        <v>120000</v>
      </c>
      <c r="J333" s="156"/>
      <c r="K333" s="226">
        <f t="shared" si="11"/>
        <v>120000</v>
      </c>
      <c r="L333" s="226">
        <f>IFERROR(K333*IFERROR(INDEX(Servicios!$G:$G,MATCH($D333,Servicios!$A:$A,0)),0),0)</f>
        <v>42000</v>
      </c>
      <c r="M333" s="226">
        <f>IFERROR(K333-L333-IFERROR(INDEX(Servicios!$F:$F,MATCH($D333,Servicios!$A:$A,0)),0),0)</f>
        <v>72645</v>
      </c>
    </row>
    <row r="334" spans="1:13" ht="15" customHeight="1" x14ac:dyDescent="0.3">
      <c r="A334" s="165">
        <v>46221</v>
      </c>
      <c r="B334" s="231" t="str">
        <f t="shared" si="10"/>
        <v>sáb</v>
      </c>
      <c r="C334" s="166" t="s">
        <v>104</v>
      </c>
      <c r="D334" s="166" t="s">
        <v>130</v>
      </c>
      <c r="E334" s="231" t="str">
        <f>IFERROR(INDEX(Servicios!$B:$B,MATCH($D334,Servicios!$A:$A,0)),"")</f>
        <v>Coloración raíz</v>
      </c>
      <c r="F334" s="166" t="s">
        <v>255</v>
      </c>
      <c r="G334" s="166" t="s">
        <v>41</v>
      </c>
      <c r="H334" s="230">
        <f>IFERROR(INDEX(Servicios!$D:$D,MATCH($D334,Servicios!$A:$A,0)),0)</f>
        <v>90</v>
      </c>
      <c r="I334" s="226">
        <f>IFERROR(INDEX(Servicios!$E:$E,MATCH($D334,Servicios!$A:$A,0)),0)</f>
        <v>120000</v>
      </c>
      <c r="J334" s="156"/>
      <c r="K334" s="226">
        <f t="shared" si="11"/>
        <v>120000</v>
      </c>
      <c r="L334" s="226">
        <f>IFERROR(K334*IFERROR(INDEX(Servicios!$G:$G,MATCH($D334,Servicios!$A:$A,0)),0),0)</f>
        <v>42000</v>
      </c>
      <c r="M334" s="226">
        <f>IFERROR(K334-L334-IFERROR(INDEX(Servicios!$F:$F,MATCH($D334,Servicios!$A:$A,0)),0),0)</f>
        <v>72645</v>
      </c>
    </row>
    <row r="335" spans="1:13" ht="15" customHeight="1" x14ac:dyDescent="0.3">
      <c r="A335" s="165">
        <v>46221</v>
      </c>
      <c r="B335" s="231" t="str">
        <f t="shared" si="10"/>
        <v>sáb</v>
      </c>
      <c r="C335" s="166" t="s">
        <v>104</v>
      </c>
      <c r="D335" s="166" t="s">
        <v>130</v>
      </c>
      <c r="E335" s="231" t="str">
        <f>IFERROR(INDEX(Servicios!$B:$B,MATCH($D335,Servicios!$A:$A,0)),"")</f>
        <v>Coloración raíz</v>
      </c>
      <c r="F335" s="166" t="s">
        <v>289</v>
      </c>
      <c r="G335" s="166" t="s">
        <v>41</v>
      </c>
      <c r="H335" s="230">
        <f>IFERROR(INDEX(Servicios!$D:$D,MATCH($D335,Servicios!$A:$A,0)),0)</f>
        <v>90</v>
      </c>
      <c r="I335" s="226">
        <f>IFERROR(INDEX(Servicios!$E:$E,MATCH($D335,Servicios!$A:$A,0)),0)</f>
        <v>120000</v>
      </c>
      <c r="J335" s="156"/>
      <c r="K335" s="226">
        <f t="shared" si="11"/>
        <v>120000</v>
      </c>
      <c r="L335" s="226">
        <f>IFERROR(K335*IFERROR(INDEX(Servicios!$G:$G,MATCH($D335,Servicios!$A:$A,0)),0),0)</f>
        <v>42000</v>
      </c>
      <c r="M335" s="226">
        <f>IFERROR(K335-L335-IFERROR(INDEX(Servicios!$F:$F,MATCH($D335,Servicios!$A:$A,0)),0),0)</f>
        <v>72645</v>
      </c>
    </row>
    <row r="336" spans="1:13" ht="15" customHeight="1" x14ac:dyDescent="0.3">
      <c r="A336" s="165">
        <v>46221</v>
      </c>
      <c r="B336" s="231" t="str">
        <f t="shared" si="10"/>
        <v>sáb</v>
      </c>
      <c r="C336" s="166" t="s">
        <v>104</v>
      </c>
      <c r="D336" s="166" t="s">
        <v>130</v>
      </c>
      <c r="E336" s="231" t="str">
        <f>IFERROR(INDEX(Servicios!$B:$B,MATCH($D336,Servicios!$A:$A,0)),"")</f>
        <v>Coloración raíz</v>
      </c>
      <c r="F336" s="166" t="s">
        <v>286</v>
      </c>
      <c r="G336" s="166" t="s">
        <v>43</v>
      </c>
      <c r="H336" s="230">
        <f>IFERROR(INDEX(Servicios!$D:$D,MATCH($D336,Servicios!$A:$A,0)),0)</f>
        <v>90</v>
      </c>
      <c r="I336" s="226">
        <f>IFERROR(INDEX(Servicios!$E:$E,MATCH($D336,Servicios!$A:$A,0)),0)</f>
        <v>120000</v>
      </c>
      <c r="J336" s="156"/>
      <c r="K336" s="226">
        <f t="shared" si="11"/>
        <v>120000</v>
      </c>
      <c r="L336" s="226">
        <f>IFERROR(K336*IFERROR(INDEX(Servicios!$G:$G,MATCH($D336,Servicios!$A:$A,0)),0),0)</f>
        <v>42000</v>
      </c>
      <c r="M336" s="226">
        <f>IFERROR(K336-L336-IFERROR(INDEX(Servicios!$F:$F,MATCH($D336,Servicios!$A:$A,0)),0),0)</f>
        <v>72645</v>
      </c>
    </row>
    <row r="337" spans="1:13" ht="15" customHeight="1" x14ac:dyDescent="0.3">
      <c r="A337" s="165">
        <v>46221</v>
      </c>
      <c r="B337" s="231" t="str">
        <f t="shared" si="10"/>
        <v>sáb</v>
      </c>
      <c r="C337" s="166" t="s">
        <v>107</v>
      </c>
      <c r="D337" s="166" t="s">
        <v>138</v>
      </c>
      <c r="E337" s="231" t="str">
        <f>IFERROR(INDEX(Servicios!$B:$B,MATCH($D337,Servicios!$A:$A,0)),"")</f>
        <v>Manicure</v>
      </c>
      <c r="F337" s="166" t="s">
        <v>264</v>
      </c>
      <c r="G337" s="166" t="s">
        <v>43</v>
      </c>
      <c r="H337" s="230">
        <f>IFERROR(INDEX(Servicios!$D:$D,MATCH($D337,Servicios!$A:$A,0)),0)</f>
        <v>45</v>
      </c>
      <c r="I337" s="226">
        <f>IFERROR(INDEX(Servicios!$E:$E,MATCH($D337,Servicios!$A:$A,0)),0)</f>
        <v>35000</v>
      </c>
      <c r="J337" s="156"/>
      <c r="K337" s="226">
        <f t="shared" si="11"/>
        <v>35000</v>
      </c>
      <c r="L337" s="226">
        <f>IFERROR(K337*IFERROR(INDEX(Servicios!$G:$G,MATCH($D337,Servicios!$A:$A,0)),0),0)</f>
        <v>8750</v>
      </c>
      <c r="M337" s="226">
        <f>IFERROR(K337-L337-IFERROR(INDEX(Servicios!$F:$F,MATCH($D337,Servicios!$A:$A,0)),0),0)</f>
        <v>25740</v>
      </c>
    </row>
    <row r="338" spans="1:13" ht="15" customHeight="1" x14ac:dyDescent="0.3">
      <c r="A338" s="165">
        <v>46221</v>
      </c>
      <c r="B338" s="231" t="str">
        <f t="shared" si="10"/>
        <v>sáb</v>
      </c>
      <c r="C338" s="166" t="s">
        <v>107</v>
      </c>
      <c r="D338" s="166" t="s">
        <v>138</v>
      </c>
      <c r="E338" s="231" t="str">
        <f>IFERROR(INDEX(Servicios!$B:$B,MATCH($D338,Servicios!$A:$A,0)),"")</f>
        <v>Manicure</v>
      </c>
      <c r="F338" s="166" t="s">
        <v>269</v>
      </c>
      <c r="G338" s="166" t="s">
        <v>41</v>
      </c>
      <c r="H338" s="230">
        <f>IFERROR(INDEX(Servicios!$D:$D,MATCH($D338,Servicios!$A:$A,0)),0)</f>
        <v>45</v>
      </c>
      <c r="I338" s="226">
        <f>IFERROR(INDEX(Servicios!$E:$E,MATCH($D338,Servicios!$A:$A,0)),0)</f>
        <v>35000</v>
      </c>
      <c r="J338" s="156"/>
      <c r="K338" s="226">
        <f t="shared" si="11"/>
        <v>35000</v>
      </c>
      <c r="L338" s="226">
        <f>IFERROR(K338*IFERROR(INDEX(Servicios!$G:$G,MATCH($D338,Servicios!$A:$A,0)),0),0)</f>
        <v>8750</v>
      </c>
      <c r="M338" s="226">
        <f>IFERROR(K338-L338-IFERROR(INDEX(Servicios!$F:$F,MATCH($D338,Servicios!$A:$A,0)),0),0)</f>
        <v>25740</v>
      </c>
    </row>
    <row r="339" spans="1:13" ht="15" customHeight="1" x14ac:dyDescent="0.3">
      <c r="A339" s="165">
        <v>46221</v>
      </c>
      <c r="B339" s="231" t="str">
        <f t="shared" si="10"/>
        <v>sáb</v>
      </c>
      <c r="C339" s="166" t="s">
        <v>107</v>
      </c>
      <c r="D339" s="166" t="s">
        <v>138</v>
      </c>
      <c r="E339" s="231" t="str">
        <f>IFERROR(INDEX(Servicios!$B:$B,MATCH($D339,Servicios!$A:$A,0)),"")</f>
        <v>Manicure</v>
      </c>
      <c r="F339" s="166" t="s">
        <v>238</v>
      </c>
      <c r="G339" s="166" t="s">
        <v>41</v>
      </c>
      <c r="H339" s="230">
        <f>IFERROR(INDEX(Servicios!$D:$D,MATCH($D339,Servicios!$A:$A,0)),0)</f>
        <v>45</v>
      </c>
      <c r="I339" s="226">
        <f>IFERROR(INDEX(Servicios!$E:$E,MATCH($D339,Servicios!$A:$A,0)),0)</f>
        <v>35000</v>
      </c>
      <c r="J339" s="156"/>
      <c r="K339" s="226">
        <f t="shared" si="11"/>
        <v>35000</v>
      </c>
      <c r="L339" s="226">
        <f>IFERROR(K339*IFERROR(INDEX(Servicios!$G:$G,MATCH($D339,Servicios!$A:$A,0)),0),0)</f>
        <v>8750</v>
      </c>
      <c r="M339" s="226">
        <f>IFERROR(K339-L339-IFERROR(INDEX(Servicios!$F:$F,MATCH($D339,Servicios!$A:$A,0)),0),0)</f>
        <v>25740</v>
      </c>
    </row>
    <row r="340" spans="1:13" ht="15" customHeight="1" x14ac:dyDescent="0.3">
      <c r="A340" s="165">
        <v>46221</v>
      </c>
      <c r="B340" s="231" t="str">
        <f t="shared" si="10"/>
        <v>sáb</v>
      </c>
      <c r="C340" s="166" t="s">
        <v>107</v>
      </c>
      <c r="D340" s="166" t="s">
        <v>138</v>
      </c>
      <c r="E340" s="231" t="str">
        <f>IFERROR(INDEX(Servicios!$B:$B,MATCH($D340,Servicios!$A:$A,0)),"")</f>
        <v>Manicure</v>
      </c>
      <c r="F340" s="166" t="s">
        <v>256</v>
      </c>
      <c r="G340" s="166" t="s">
        <v>43</v>
      </c>
      <c r="H340" s="230">
        <f>IFERROR(INDEX(Servicios!$D:$D,MATCH($D340,Servicios!$A:$A,0)),0)</f>
        <v>45</v>
      </c>
      <c r="I340" s="226">
        <f>IFERROR(INDEX(Servicios!$E:$E,MATCH($D340,Servicios!$A:$A,0)),0)</f>
        <v>35000</v>
      </c>
      <c r="J340" s="156"/>
      <c r="K340" s="226">
        <f t="shared" si="11"/>
        <v>35000</v>
      </c>
      <c r="L340" s="226">
        <f>IFERROR(K340*IFERROR(INDEX(Servicios!$G:$G,MATCH($D340,Servicios!$A:$A,0)),0),0)</f>
        <v>8750</v>
      </c>
      <c r="M340" s="226">
        <f>IFERROR(K340-L340-IFERROR(INDEX(Servicios!$F:$F,MATCH($D340,Servicios!$A:$A,0)),0),0)</f>
        <v>25740</v>
      </c>
    </row>
    <row r="341" spans="1:13" ht="15" customHeight="1" x14ac:dyDescent="0.3">
      <c r="A341" s="165">
        <v>46221</v>
      </c>
      <c r="B341" s="231" t="str">
        <f t="shared" si="10"/>
        <v>sáb</v>
      </c>
      <c r="C341" s="166" t="s">
        <v>107</v>
      </c>
      <c r="D341" s="166" t="s">
        <v>138</v>
      </c>
      <c r="E341" s="231" t="str">
        <f>IFERROR(INDEX(Servicios!$B:$B,MATCH($D341,Servicios!$A:$A,0)),"")</f>
        <v>Manicure</v>
      </c>
      <c r="F341" s="166" t="s">
        <v>263</v>
      </c>
      <c r="G341" s="166" t="s">
        <v>41</v>
      </c>
      <c r="H341" s="230">
        <f>IFERROR(INDEX(Servicios!$D:$D,MATCH($D341,Servicios!$A:$A,0)),0)</f>
        <v>45</v>
      </c>
      <c r="I341" s="226">
        <f>IFERROR(INDEX(Servicios!$E:$E,MATCH($D341,Servicios!$A:$A,0)),0)</f>
        <v>35000</v>
      </c>
      <c r="J341" s="156"/>
      <c r="K341" s="226">
        <f t="shared" si="11"/>
        <v>35000</v>
      </c>
      <c r="L341" s="226">
        <f>IFERROR(K341*IFERROR(INDEX(Servicios!$G:$G,MATCH($D341,Servicios!$A:$A,0)),0),0)</f>
        <v>8750</v>
      </c>
      <c r="M341" s="226">
        <f>IFERROR(K341-L341-IFERROR(INDEX(Servicios!$F:$F,MATCH($D341,Servicios!$A:$A,0)),0),0)</f>
        <v>25740</v>
      </c>
    </row>
    <row r="342" spans="1:13" ht="15" customHeight="1" x14ac:dyDescent="0.3">
      <c r="A342" s="165">
        <v>46221</v>
      </c>
      <c r="B342" s="231" t="str">
        <f t="shared" si="10"/>
        <v>sáb</v>
      </c>
      <c r="C342" s="166" t="s">
        <v>107</v>
      </c>
      <c r="D342" s="166" t="s">
        <v>138</v>
      </c>
      <c r="E342" s="231" t="str">
        <f>IFERROR(INDEX(Servicios!$B:$B,MATCH($D342,Servicios!$A:$A,0)),"")</f>
        <v>Manicure</v>
      </c>
      <c r="F342" s="166" t="s">
        <v>234</v>
      </c>
      <c r="G342" s="166" t="s">
        <v>41</v>
      </c>
      <c r="H342" s="230">
        <f>IFERROR(INDEX(Servicios!$D:$D,MATCH($D342,Servicios!$A:$A,0)),0)</f>
        <v>45</v>
      </c>
      <c r="I342" s="226">
        <f>IFERROR(INDEX(Servicios!$E:$E,MATCH($D342,Servicios!$A:$A,0)),0)</f>
        <v>35000</v>
      </c>
      <c r="J342" s="156"/>
      <c r="K342" s="226">
        <f t="shared" si="11"/>
        <v>35000</v>
      </c>
      <c r="L342" s="226">
        <f>IFERROR(K342*IFERROR(INDEX(Servicios!$G:$G,MATCH($D342,Servicios!$A:$A,0)),0),0)</f>
        <v>8750</v>
      </c>
      <c r="M342" s="226">
        <f>IFERROR(K342-L342-IFERROR(INDEX(Servicios!$F:$F,MATCH($D342,Servicios!$A:$A,0)),0),0)</f>
        <v>25740</v>
      </c>
    </row>
    <row r="343" spans="1:13" ht="15" customHeight="1" x14ac:dyDescent="0.3">
      <c r="A343" s="165"/>
      <c r="B343" s="231" t="str">
        <f t="shared" si="10"/>
        <v/>
      </c>
      <c r="C343" s="166"/>
      <c r="D343" s="166"/>
      <c r="E343" s="231" t="str">
        <f>IFERROR(INDEX(Servicios!$B:$B,MATCH($D343,Servicios!$A:$A,0)),"")</f>
        <v/>
      </c>
      <c r="F343" s="166"/>
      <c r="G343" s="166"/>
      <c r="H343" s="230">
        <f>IFERROR(INDEX(Servicios!$D:$D,MATCH($D343,Servicios!$A:$A,0)),0)</f>
        <v>0</v>
      </c>
      <c r="I343" s="226">
        <f>IFERROR(INDEX(Servicios!$E:$E,MATCH($D343,Servicios!$A:$A,0)),0)</f>
        <v>0</v>
      </c>
      <c r="J343" s="156"/>
      <c r="K343" s="226">
        <f t="shared" si="11"/>
        <v>0</v>
      </c>
      <c r="L343" s="226">
        <f>IFERROR(K343*IFERROR(INDEX(Servicios!$G:$G,MATCH($D343,Servicios!$A:$A,0)),0),0)</f>
        <v>0</v>
      </c>
      <c r="M343" s="226">
        <f>IFERROR(K343-L343-IFERROR(INDEX(Servicios!$F:$F,MATCH($D343,Servicios!$A:$A,0)),0),0)</f>
        <v>0</v>
      </c>
    </row>
    <row r="344" spans="1:13" ht="15" customHeight="1" x14ac:dyDescent="0.3">
      <c r="A344" s="165"/>
      <c r="B344" s="231" t="str">
        <f t="shared" si="10"/>
        <v/>
      </c>
      <c r="C344" s="166"/>
      <c r="D344" s="166"/>
      <c r="E344" s="231" t="str">
        <f>IFERROR(INDEX(Servicios!$B:$B,MATCH($D344,Servicios!$A:$A,0)),"")</f>
        <v/>
      </c>
      <c r="F344" s="166"/>
      <c r="G344" s="166"/>
      <c r="H344" s="230">
        <f>IFERROR(INDEX(Servicios!$D:$D,MATCH($D344,Servicios!$A:$A,0)),0)</f>
        <v>0</v>
      </c>
      <c r="I344" s="226">
        <f>IFERROR(INDEX(Servicios!$E:$E,MATCH($D344,Servicios!$A:$A,0)),0)</f>
        <v>0</v>
      </c>
      <c r="J344" s="156"/>
      <c r="K344" s="226">
        <f t="shared" si="11"/>
        <v>0</v>
      </c>
      <c r="L344" s="226">
        <f>IFERROR(K344*IFERROR(INDEX(Servicios!$G:$G,MATCH($D344,Servicios!$A:$A,0)),0),0)</f>
        <v>0</v>
      </c>
      <c r="M344" s="226">
        <f>IFERROR(K344-L344-IFERROR(INDEX(Servicios!$F:$F,MATCH($D344,Servicios!$A:$A,0)),0),0)</f>
        <v>0</v>
      </c>
    </row>
    <row r="345" spans="1:13" ht="15" customHeight="1" x14ac:dyDescent="0.3">
      <c r="A345" s="165"/>
      <c r="B345" s="231" t="str">
        <f t="shared" si="10"/>
        <v/>
      </c>
      <c r="C345" s="166"/>
      <c r="D345" s="166"/>
      <c r="E345" s="231" t="str">
        <f>IFERROR(INDEX(Servicios!$B:$B,MATCH($D345,Servicios!$A:$A,0)),"")</f>
        <v/>
      </c>
      <c r="F345" s="166"/>
      <c r="G345" s="166"/>
      <c r="H345" s="230">
        <f>IFERROR(INDEX(Servicios!$D:$D,MATCH($D345,Servicios!$A:$A,0)),0)</f>
        <v>0</v>
      </c>
      <c r="I345" s="226">
        <f>IFERROR(INDEX(Servicios!$E:$E,MATCH($D345,Servicios!$A:$A,0)),0)</f>
        <v>0</v>
      </c>
      <c r="J345" s="156"/>
      <c r="K345" s="226">
        <f t="shared" si="11"/>
        <v>0</v>
      </c>
      <c r="L345" s="226">
        <f>IFERROR(K345*IFERROR(INDEX(Servicios!$G:$G,MATCH($D345,Servicios!$A:$A,0)),0),0)</f>
        <v>0</v>
      </c>
      <c r="M345" s="226">
        <f>IFERROR(K345-L345-IFERROR(INDEX(Servicios!$F:$F,MATCH($D345,Servicios!$A:$A,0)),0),0)</f>
        <v>0</v>
      </c>
    </row>
    <row r="346" spans="1:13" ht="15" customHeight="1" x14ac:dyDescent="0.3">
      <c r="A346" s="165"/>
      <c r="B346" s="231" t="str">
        <f t="shared" si="10"/>
        <v/>
      </c>
      <c r="C346" s="166"/>
      <c r="D346" s="166"/>
      <c r="E346" s="231" t="str">
        <f>IFERROR(INDEX(Servicios!$B:$B,MATCH($D346,Servicios!$A:$A,0)),"")</f>
        <v/>
      </c>
      <c r="F346" s="166"/>
      <c r="G346" s="166"/>
      <c r="H346" s="230">
        <f>IFERROR(INDEX(Servicios!$D:$D,MATCH($D346,Servicios!$A:$A,0)),0)</f>
        <v>0</v>
      </c>
      <c r="I346" s="226">
        <f>IFERROR(INDEX(Servicios!$E:$E,MATCH($D346,Servicios!$A:$A,0)),0)</f>
        <v>0</v>
      </c>
      <c r="J346" s="156"/>
      <c r="K346" s="226">
        <f t="shared" si="11"/>
        <v>0</v>
      </c>
      <c r="L346" s="226">
        <f>IFERROR(K346*IFERROR(INDEX(Servicios!$G:$G,MATCH($D346,Servicios!$A:$A,0)),0),0)</f>
        <v>0</v>
      </c>
      <c r="M346" s="226">
        <f>IFERROR(K346-L346-IFERROR(INDEX(Servicios!$F:$F,MATCH($D346,Servicios!$A:$A,0)),0),0)</f>
        <v>0</v>
      </c>
    </row>
    <row r="347" spans="1:13" ht="15" customHeight="1" x14ac:dyDescent="0.3">
      <c r="A347" s="165"/>
      <c r="B347" s="231" t="str">
        <f t="shared" si="10"/>
        <v/>
      </c>
      <c r="C347" s="166"/>
      <c r="D347" s="166"/>
      <c r="E347" s="231" t="str">
        <f>IFERROR(INDEX(Servicios!$B:$B,MATCH($D347,Servicios!$A:$A,0)),"")</f>
        <v/>
      </c>
      <c r="F347" s="166"/>
      <c r="G347" s="166"/>
      <c r="H347" s="230">
        <f>IFERROR(INDEX(Servicios!$D:$D,MATCH($D347,Servicios!$A:$A,0)),0)</f>
        <v>0</v>
      </c>
      <c r="I347" s="226">
        <f>IFERROR(INDEX(Servicios!$E:$E,MATCH($D347,Servicios!$A:$A,0)),0)</f>
        <v>0</v>
      </c>
      <c r="J347" s="156"/>
      <c r="K347" s="226">
        <f t="shared" si="11"/>
        <v>0</v>
      </c>
      <c r="L347" s="226">
        <f>IFERROR(K347*IFERROR(INDEX(Servicios!$G:$G,MATCH($D347,Servicios!$A:$A,0)),0),0)</f>
        <v>0</v>
      </c>
      <c r="M347" s="226">
        <f>IFERROR(K347-L347-IFERROR(INDEX(Servicios!$F:$F,MATCH($D347,Servicios!$A:$A,0)),0),0)</f>
        <v>0</v>
      </c>
    </row>
    <row r="348" spans="1:13" ht="15" customHeight="1" x14ac:dyDescent="0.3">
      <c r="A348" s="165"/>
      <c r="B348" s="231" t="str">
        <f t="shared" si="10"/>
        <v/>
      </c>
      <c r="C348" s="166"/>
      <c r="D348" s="166"/>
      <c r="E348" s="231" t="str">
        <f>IFERROR(INDEX(Servicios!$B:$B,MATCH($D348,Servicios!$A:$A,0)),"")</f>
        <v/>
      </c>
      <c r="F348" s="166"/>
      <c r="G348" s="166"/>
      <c r="H348" s="230">
        <f>IFERROR(INDEX(Servicios!$D:$D,MATCH($D348,Servicios!$A:$A,0)),0)</f>
        <v>0</v>
      </c>
      <c r="I348" s="226">
        <f>IFERROR(INDEX(Servicios!$E:$E,MATCH($D348,Servicios!$A:$A,0)),0)</f>
        <v>0</v>
      </c>
      <c r="J348" s="156"/>
      <c r="K348" s="226">
        <f t="shared" si="11"/>
        <v>0</v>
      </c>
      <c r="L348" s="226">
        <f>IFERROR(K348*IFERROR(INDEX(Servicios!$G:$G,MATCH($D348,Servicios!$A:$A,0)),0),0)</f>
        <v>0</v>
      </c>
      <c r="M348" s="226">
        <f>IFERROR(K348-L348-IFERROR(INDEX(Servicios!$F:$F,MATCH($D348,Servicios!$A:$A,0)),0),0)</f>
        <v>0</v>
      </c>
    </row>
    <row r="349" spans="1:13" ht="15" customHeight="1" x14ac:dyDescent="0.3">
      <c r="A349" s="165"/>
      <c r="B349" s="231" t="str">
        <f t="shared" si="10"/>
        <v/>
      </c>
      <c r="C349" s="166"/>
      <c r="D349" s="166"/>
      <c r="E349" s="231" t="str">
        <f>IFERROR(INDEX(Servicios!$B:$B,MATCH($D349,Servicios!$A:$A,0)),"")</f>
        <v/>
      </c>
      <c r="F349" s="166"/>
      <c r="G349" s="166"/>
      <c r="H349" s="230">
        <f>IFERROR(INDEX(Servicios!$D:$D,MATCH($D349,Servicios!$A:$A,0)),0)</f>
        <v>0</v>
      </c>
      <c r="I349" s="226">
        <f>IFERROR(INDEX(Servicios!$E:$E,MATCH($D349,Servicios!$A:$A,0)),0)</f>
        <v>0</v>
      </c>
      <c r="J349" s="156"/>
      <c r="K349" s="226">
        <f t="shared" si="11"/>
        <v>0</v>
      </c>
      <c r="L349" s="226">
        <f>IFERROR(K349*IFERROR(INDEX(Servicios!$G:$G,MATCH($D349,Servicios!$A:$A,0)),0),0)</f>
        <v>0</v>
      </c>
      <c r="M349" s="226">
        <f>IFERROR(K349-L349-IFERROR(INDEX(Servicios!$F:$F,MATCH($D349,Servicios!$A:$A,0)),0),0)</f>
        <v>0</v>
      </c>
    </row>
    <row r="350" spans="1:13" ht="15" customHeight="1" x14ac:dyDescent="0.3">
      <c r="A350" s="165"/>
      <c r="B350" s="231" t="str">
        <f t="shared" si="10"/>
        <v/>
      </c>
      <c r="C350" s="166"/>
      <c r="D350" s="166"/>
      <c r="E350" s="231" t="str">
        <f>IFERROR(INDEX(Servicios!$B:$B,MATCH($D350,Servicios!$A:$A,0)),"")</f>
        <v/>
      </c>
      <c r="F350" s="166"/>
      <c r="G350" s="166"/>
      <c r="H350" s="230">
        <f>IFERROR(INDEX(Servicios!$D:$D,MATCH($D350,Servicios!$A:$A,0)),0)</f>
        <v>0</v>
      </c>
      <c r="I350" s="226">
        <f>IFERROR(INDEX(Servicios!$E:$E,MATCH($D350,Servicios!$A:$A,0)),0)</f>
        <v>0</v>
      </c>
      <c r="J350" s="156"/>
      <c r="K350" s="226">
        <f t="shared" si="11"/>
        <v>0</v>
      </c>
      <c r="L350" s="226">
        <f>IFERROR(K350*IFERROR(INDEX(Servicios!$G:$G,MATCH($D350,Servicios!$A:$A,0)),0),0)</f>
        <v>0</v>
      </c>
      <c r="M350" s="226">
        <f>IFERROR(K350-L350-IFERROR(INDEX(Servicios!$F:$F,MATCH($D350,Servicios!$A:$A,0)),0),0)</f>
        <v>0</v>
      </c>
    </row>
    <row r="351" spans="1:13" ht="15" customHeight="1" x14ac:dyDescent="0.3">
      <c r="A351" s="165"/>
      <c r="B351" s="231" t="str">
        <f t="shared" si="10"/>
        <v/>
      </c>
      <c r="C351" s="166"/>
      <c r="D351" s="166"/>
      <c r="E351" s="231" t="str">
        <f>IFERROR(INDEX(Servicios!$B:$B,MATCH($D351,Servicios!$A:$A,0)),"")</f>
        <v/>
      </c>
      <c r="F351" s="166"/>
      <c r="G351" s="166"/>
      <c r="H351" s="230">
        <f>IFERROR(INDEX(Servicios!$D:$D,MATCH($D351,Servicios!$A:$A,0)),0)</f>
        <v>0</v>
      </c>
      <c r="I351" s="226">
        <f>IFERROR(INDEX(Servicios!$E:$E,MATCH($D351,Servicios!$A:$A,0)),0)</f>
        <v>0</v>
      </c>
      <c r="J351" s="156"/>
      <c r="K351" s="226">
        <f t="shared" si="11"/>
        <v>0</v>
      </c>
      <c r="L351" s="226">
        <f>IFERROR(K351*IFERROR(INDEX(Servicios!$G:$G,MATCH($D351,Servicios!$A:$A,0)),0),0)</f>
        <v>0</v>
      </c>
      <c r="M351" s="226">
        <f>IFERROR(K351-L351-IFERROR(INDEX(Servicios!$F:$F,MATCH($D351,Servicios!$A:$A,0)),0),0)</f>
        <v>0</v>
      </c>
    </row>
    <row r="352" spans="1:13" ht="15" customHeight="1" x14ac:dyDescent="0.3">
      <c r="A352" s="165"/>
      <c r="B352" s="231" t="str">
        <f t="shared" si="10"/>
        <v/>
      </c>
      <c r="C352" s="166"/>
      <c r="D352" s="166"/>
      <c r="E352" s="231" t="str">
        <f>IFERROR(INDEX(Servicios!$B:$B,MATCH($D352,Servicios!$A:$A,0)),"")</f>
        <v/>
      </c>
      <c r="F352" s="166"/>
      <c r="G352" s="166"/>
      <c r="H352" s="230">
        <f>IFERROR(INDEX(Servicios!$D:$D,MATCH($D352,Servicios!$A:$A,0)),0)</f>
        <v>0</v>
      </c>
      <c r="I352" s="226">
        <f>IFERROR(INDEX(Servicios!$E:$E,MATCH($D352,Servicios!$A:$A,0)),0)</f>
        <v>0</v>
      </c>
      <c r="J352" s="156"/>
      <c r="K352" s="226">
        <f t="shared" si="11"/>
        <v>0</v>
      </c>
      <c r="L352" s="226">
        <f>IFERROR(K352*IFERROR(INDEX(Servicios!$G:$G,MATCH($D352,Servicios!$A:$A,0)),0),0)</f>
        <v>0</v>
      </c>
      <c r="M352" s="226">
        <f>IFERROR(K352-L352-IFERROR(INDEX(Servicios!$F:$F,MATCH($D352,Servicios!$A:$A,0)),0),0)</f>
        <v>0</v>
      </c>
    </row>
    <row r="353" spans="1:13" ht="15" customHeight="1" x14ac:dyDescent="0.3">
      <c r="A353" s="165"/>
      <c r="B353" s="231" t="str">
        <f t="shared" si="10"/>
        <v/>
      </c>
      <c r="C353" s="166"/>
      <c r="D353" s="166"/>
      <c r="E353" s="231" t="str">
        <f>IFERROR(INDEX(Servicios!$B:$B,MATCH($D353,Servicios!$A:$A,0)),"")</f>
        <v/>
      </c>
      <c r="F353" s="166"/>
      <c r="G353" s="166"/>
      <c r="H353" s="230">
        <f>IFERROR(INDEX(Servicios!$D:$D,MATCH($D353,Servicios!$A:$A,0)),0)</f>
        <v>0</v>
      </c>
      <c r="I353" s="226">
        <f>IFERROR(INDEX(Servicios!$E:$E,MATCH($D353,Servicios!$A:$A,0)),0)</f>
        <v>0</v>
      </c>
      <c r="J353" s="156"/>
      <c r="K353" s="226">
        <f t="shared" si="11"/>
        <v>0</v>
      </c>
      <c r="L353" s="226">
        <f>IFERROR(K353*IFERROR(INDEX(Servicios!$G:$G,MATCH($D353,Servicios!$A:$A,0)),0),0)</f>
        <v>0</v>
      </c>
      <c r="M353" s="226">
        <f>IFERROR(K353-L353-IFERROR(INDEX(Servicios!$F:$F,MATCH($D353,Servicios!$A:$A,0)),0),0)</f>
        <v>0</v>
      </c>
    </row>
    <row r="354" spans="1:13" ht="15" customHeight="1" x14ac:dyDescent="0.3">
      <c r="A354" s="165"/>
      <c r="B354" s="231" t="str">
        <f t="shared" si="10"/>
        <v/>
      </c>
      <c r="C354" s="166"/>
      <c r="D354" s="166"/>
      <c r="E354" s="231" t="str">
        <f>IFERROR(INDEX(Servicios!$B:$B,MATCH($D354,Servicios!$A:$A,0)),"")</f>
        <v/>
      </c>
      <c r="F354" s="166"/>
      <c r="G354" s="166"/>
      <c r="H354" s="230">
        <f>IFERROR(INDEX(Servicios!$D:$D,MATCH($D354,Servicios!$A:$A,0)),0)</f>
        <v>0</v>
      </c>
      <c r="I354" s="226">
        <f>IFERROR(INDEX(Servicios!$E:$E,MATCH($D354,Servicios!$A:$A,0)),0)</f>
        <v>0</v>
      </c>
      <c r="J354" s="156"/>
      <c r="K354" s="226">
        <f t="shared" si="11"/>
        <v>0</v>
      </c>
      <c r="L354" s="226">
        <f>IFERROR(K354*IFERROR(INDEX(Servicios!$G:$G,MATCH($D354,Servicios!$A:$A,0)),0),0)</f>
        <v>0</v>
      </c>
      <c r="M354" s="226">
        <f>IFERROR(K354-L354-IFERROR(INDEX(Servicios!$F:$F,MATCH($D354,Servicios!$A:$A,0)),0),0)</f>
        <v>0</v>
      </c>
    </row>
    <row r="355" spans="1:13" ht="15" customHeight="1" x14ac:dyDescent="0.3">
      <c r="A355" s="165"/>
      <c r="B355" s="231" t="str">
        <f t="shared" si="10"/>
        <v/>
      </c>
      <c r="C355" s="166"/>
      <c r="D355" s="166"/>
      <c r="E355" s="231" t="str">
        <f>IFERROR(INDEX(Servicios!$B:$B,MATCH($D355,Servicios!$A:$A,0)),"")</f>
        <v/>
      </c>
      <c r="F355" s="166"/>
      <c r="G355" s="166"/>
      <c r="H355" s="230">
        <f>IFERROR(INDEX(Servicios!$D:$D,MATCH($D355,Servicios!$A:$A,0)),0)</f>
        <v>0</v>
      </c>
      <c r="I355" s="226">
        <f>IFERROR(INDEX(Servicios!$E:$E,MATCH($D355,Servicios!$A:$A,0)),0)</f>
        <v>0</v>
      </c>
      <c r="J355" s="156"/>
      <c r="K355" s="226">
        <f t="shared" si="11"/>
        <v>0</v>
      </c>
      <c r="L355" s="226">
        <f>IFERROR(K355*IFERROR(INDEX(Servicios!$G:$G,MATCH($D355,Servicios!$A:$A,0)),0),0)</f>
        <v>0</v>
      </c>
      <c r="M355" s="226">
        <f>IFERROR(K355-L355-IFERROR(INDEX(Servicios!$F:$F,MATCH($D355,Servicios!$A:$A,0)),0),0)</f>
        <v>0</v>
      </c>
    </row>
    <row r="356" spans="1:13" ht="15" customHeight="1" x14ac:dyDescent="0.3">
      <c r="A356" s="165"/>
      <c r="B356" s="231" t="str">
        <f t="shared" si="10"/>
        <v/>
      </c>
      <c r="C356" s="166"/>
      <c r="D356" s="166"/>
      <c r="E356" s="231" t="str">
        <f>IFERROR(INDEX(Servicios!$B:$B,MATCH($D356,Servicios!$A:$A,0)),"")</f>
        <v/>
      </c>
      <c r="F356" s="166"/>
      <c r="G356" s="166"/>
      <c r="H356" s="230">
        <f>IFERROR(INDEX(Servicios!$D:$D,MATCH($D356,Servicios!$A:$A,0)),0)</f>
        <v>0</v>
      </c>
      <c r="I356" s="226">
        <f>IFERROR(INDEX(Servicios!$E:$E,MATCH($D356,Servicios!$A:$A,0)),0)</f>
        <v>0</v>
      </c>
      <c r="J356" s="156"/>
      <c r="K356" s="226">
        <f t="shared" si="11"/>
        <v>0</v>
      </c>
      <c r="L356" s="226">
        <f>IFERROR(K356*IFERROR(INDEX(Servicios!$G:$G,MATCH($D356,Servicios!$A:$A,0)),0),0)</f>
        <v>0</v>
      </c>
      <c r="M356" s="226">
        <f>IFERROR(K356-L356-IFERROR(INDEX(Servicios!$F:$F,MATCH($D356,Servicios!$A:$A,0)),0),0)</f>
        <v>0</v>
      </c>
    </row>
    <row r="357" spans="1:13" ht="15" customHeight="1" x14ac:dyDescent="0.3">
      <c r="A357" s="165"/>
      <c r="B357" s="231" t="str">
        <f t="shared" si="10"/>
        <v/>
      </c>
      <c r="C357" s="166"/>
      <c r="D357" s="166"/>
      <c r="E357" s="231" t="str">
        <f>IFERROR(INDEX(Servicios!$B:$B,MATCH($D357,Servicios!$A:$A,0)),"")</f>
        <v/>
      </c>
      <c r="F357" s="166"/>
      <c r="G357" s="166"/>
      <c r="H357" s="230">
        <f>IFERROR(INDEX(Servicios!$D:$D,MATCH($D357,Servicios!$A:$A,0)),0)</f>
        <v>0</v>
      </c>
      <c r="I357" s="226">
        <f>IFERROR(INDEX(Servicios!$E:$E,MATCH($D357,Servicios!$A:$A,0)),0)</f>
        <v>0</v>
      </c>
      <c r="J357" s="156"/>
      <c r="K357" s="226">
        <f t="shared" si="11"/>
        <v>0</v>
      </c>
      <c r="L357" s="226">
        <f>IFERROR(K357*IFERROR(INDEX(Servicios!$G:$G,MATCH($D357,Servicios!$A:$A,0)),0),0)</f>
        <v>0</v>
      </c>
      <c r="M357" s="226">
        <f>IFERROR(K357-L357-IFERROR(INDEX(Servicios!$F:$F,MATCH($D357,Servicios!$A:$A,0)),0),0)</f>
        <v>0</v>
      </c>
    </row>
    <row r="358" spans="1:13" ht="15" customHeight="1" x14ac:dyDescent="0.3">
      <c r="A358" s="165"/>
      <c r="B358" s="231" t="str">
        <f t="shared" si="10"/>
        <v/>
      </c>
      <c r="C358" s="166"/>
      <c r="D358" s="166"/>
      <c r="E358" s="231" t="str">
        <f>IFERROR(INDEX(Servicios!$B:$B,MATCH($D358,Servicios!$A:$A,0)),"")</f>
        <v/>
      </c>
      <c r="F358" s="166"/>
      <c r="G358" s="166"/>
      <c r="H358" s="230">
        <f>IFERROR(INDEX(Servicios!$D:$D,MATCH($D358,Servicios!$A:$A,0)),0)</f>
        <v>0</v>
      </c>
      <c r="I358" s="226">
        <f>IFERROR(INDEX(Servicios!$E:$E,MATCH($D358,Servicios!$A:$A,0)),0)</f>
        <v>0</v>
      </c>
      <c r="J358" s="156"/>
      <c r="K358" s="226">
        <f t="shared" si="11"/>
        <v>0</v>
      </c>
      <c r="L358" s="226">
        <f>IFERROR(K358*IFERROR(INDEX(Servicios!$G:$G,MATCH($D358,Servicios!$A:$A,0)),0),0)</f>
        <v>0</v>
      </c>
      <c r="M358" s="226">
        <f>IFERROR(K358-L358-IFERROR(INDEX(Servicios!$F:$F,MATCH($D358,Servicios!$A:$A,0)),0),0)</f>
        <v>0</v>
      </c>
    </row>
    <row r="359" spans="1:13" ht="15" customHeight="1" x14ac:dyDescent="0.3">
      <c r="A359" s="165"/>
      <c r="B359" s="231" t="str">
        <f t="shared" si="10"/>
        <v/>
      </c>
      <c r="C359" s="166"/>
      <c r="D359" s="166"/>
      <c r="E359" s="231" t="str">
        <f>IFERROR(INDEX(Servicios!$B:$B,MATCH($D359,Servicios!$A:$A,0)),"")</f>
        <v/>
      </c>
      <c r="F359" s="166"/>
      <c r="G359" s="166"/>
      <c r="H359" s="230">
        <f>IFERROR(INDEX(Servicios!$D:$D,MATCH($D359,Servicios!$A:$A,0)),0)</f>
        <v>0</v>
      </c>
      <c r="I359" s="226">
        <f>IFERROR(INDEX(Servicios!$E:$E,MATCH($D359,Servicios!$A:$A,0)),0)</f>
        <v>0</v>
      </c>
      <c r="J359" s="156"/>
      <c r="K359" s="226">
        <f t="shared" si="11"/>
        <v>0</v>
      </c>
      <c r="L359" s="226">
        <f>IFERROR(K359*IFERROR(INDEX(Servicios!$G:$G,MATCH($D359,Servicios!$A:$A,0)),0),0)</f>
        <v>0</v>
      </c>
      <c r="M359" s="226">
        <f>IFERROR(K359-L359-IFERROR(INDEX(Servicios!$F:$F,MATCH($D359,Servicios!$A:$A,0)),0),0)</f>
        <v>0</v>
      </c>
    </row>
    <row r="360" spans="1:13" ht="15" customHeight="1" x14ac:dyDescent="0.3">
      <c r="A360" s="165"/>
      <c r="B360" s="231" t="str">
        <f t="shared" si="10"/>
        <v/>
      </c>
      <c r="C360" s="166"/>
      <c r="D360" s="166"/>
      <c r="E360" s="231" t="str">
        <f>IFERROR(INDEX(Servicios!$B:$B,MATCH($D360,Servicios!$A:$A,0)),"")</f>
        <v/>
      </c>
      <c r="F360" s="166"/>
      <c r="G360" s="166"/>
      <c r="H360" s="230">
        <f>IFERROR(INDEX(Servicios!$D:$D,MATCH($D360,Servicios!$A:$A,0)),0)</f>
        <v>0</v>
      </c>
      <c r="I360" s="226">
        <f>IFERROR(INDEX(Servicios!$E:$E,MATCH($D360,Servicios!$A:$A,0)),0)</f>
        <v>0</v>
      </c>
      <c r="J360" s="156"/>
      <c r="K360" s="226">
        <f t="shared" si="11"/>
        <v>0</v>
      </c>
      <c r="L360" s="226">
        <f>IFERROR(K360*IFERROR(INDEX(Servicios!$G:$G,MATCH($D360,Servicios!$A:$A,0)),0),0)</f>
        <v>0</v>
      </c>
      <c r="M360" s="226">
        <f>IFERROR(K360-L360-IFERROR(INDEX(Servicios!$F:$F,MATCH($D360,Servicios!$A:$A,0)),0),0)</f>
        <v>0</v>
      </c>
    </row>
    <row r="361" spans="1:13" ht="15" customHeight="1" x14ac:dyDescent="0.3">
      <c r="A361" s="165"/>
      <c r="B361" s="231" t="str">
        <f t="shared" si="10"/>
        <v/>
      </c>
      <c r="C361" s="166"/>
      <c r="D361" s="166"/>
      <c r="E361" s="231" t="str">
        <f>IFERROR(INDEX(Servicios!$B:$B,MATCH($D361,Servicios!$A:$A,0)),"")</f>
        <v/>
      </c>
      <c r="F361" s="166"/>
      <c r="G361" s="166"/>
      <c r="H361" s="230">
        <f>IFERROR(INDEX(Servicios!$D:$D,MATCH($D361,Servicios!$A:$A,0)),0)</f>
        <v>0</v>
      </c>
      <c r="I361" s="226">
        <f>IFERROR(INDEX(Servicios!$E:$E,MATCH($D361,Servicios!$A:$A,0)),0)</f>
        <v>0</v>
      </c>
      <c r="J361" s="156"/>
      <c r="K361" s="226">
        <f t="shared" si="11"/>
        <v>0</v>
      </c>
      <c r="L361" s="226">
        <f>IFERROR(K361*IFERROR(INDEX(Servicios!$G:$G,MATCH($D361,Servicios!$A:$A,0)),0),0)</f>
        <v>0</v>
      </c>
      <c r="M361" s="226">
        <f>IFERROR(K361-L361-IFERROR(INDEX(Servicios!$F:$F,MATCH($D361,Servicios!$A:$A,0)),0),0)</f>
        <v>0</v>
      </c>
    </row>
    <row r="362" spans="1:13" ht="15" customHeight="1" x14ac:dyDescent="0.3">
      <c r="A362" s="165"/>
      <c r="B362" s="231" t="str">
        <f t="shared" si="10"/>
        <v/>
      </c>
      <c r="C362" s="166"/>
      <c r="D362" s="166"/>
      <c r="E362" s="231" t="str">
        <f>IFERROR(INDEX(Servicios!$B:$B,MATCH($D362,Servicios!$A:$A,0)),"")</f>
        <v/>
      </c>
      <c r="F362" s="166"/>
      <c r="G362" s="166"/>
      <c r="H362" s="230">
        <f>IFERROR(INDEX(Servicios!$D:$D,MATCH($D362,Servicios!$A:$A,0)),0)</f>
        <v>0</v>
      </c>
      <c r="I362" s="226">
        <f>IFERROR(INDEX(Servicios!$E:$E,MATCH($D362,Servicios!$A:$A,0)),0)</f>
        <v>0</v>
      </c>
      <c r="J362" s="156"/>
      <c r="K362" s="226">
        <f t="shared" si="11"/>
        <v>0</v>
      </c>
      <c r="L362" s="226">
        <f>IFERROR(K362*IFERROR(INDEX(Servicios!$G:$G,MATCH($D362,Servicios!$A:$A,0)),0),0)</f>
        <v>0</v>
      </c>
      <c r="M362" s="226">
        <f>IFERROR(K362-L362-IFERROR(INDEX(Servicios!$F:$F,MATCH($D362,Servicios!$A:$A,0)),0),0)</f>
        <v>0</v>
      </c>
    </row>
    <row r="363" spans="1:13" ht="15" customHeight="1" x14ac:dyDescent="0.3">
      <c r="A363" s="165"/>
      <c r="B363" s="231" t="str">
        <f t="shared" si="10"/>
        <v/>
      </c>
      <c r="C363" s="166"/>
      <c r="D363" s="166"/>
      <c r="E363" s="231" t="str">
        <f>IFERROR(INDEX(Servicios!$B:$B,MATCH($D363,Servicios!$A:$A,0)),"")</f>
        <v/>
      </c>
      <c r="F363" s="166"/>
      <c r="G363" s="166"/>
      <c r="H363" s="230">
        <f>IFERROR(INDEX(Servicios!$D:$D,MATCH($D363,Servicios!$A:$A,0)),0)</f>
        <v>0</v>
      </c>
      <c r="I363" s="226">
        <f>IFERROR(INDEX(Servicios!$E:$E,MATCH($D363,Servicios!$A:$A,0)),0)</f>
        <v>0</v>
      </c>
      <c r="J363" s="156"/>
      <c r="K363" s="226">
        <f t="shared" si="11"/>
        <v>0</v>
      </c>
      <c r="L363" s="226">
        <f>IFERROR(K363*IFERROR(INDEX(Servicios!$G:$G,MATCH($D363,Servicios!$A:$A,0)),0),0)</f>
        <v>0</v>
      </c>
      <c r="M363" s="226">
        <f>IFERROR(K363-L363-IFERROR(INDEX(Servicios!$F:$F,MATCH($D363,Servicios!$A:$A,0)),0),0)</f>
        <v>0</v>
      </c>
    </row>
    <row r="364" spans="1:13" ht="15" customHeight="1" x14ac:dyDescent="0.3">
      <c r="A364" s="165"/>
      <c r="B364" s="231" t="str">
        <f t="shared" si="10"/>
        <v/>
      </c>
      <c r="C364" s="166"/>
      <c r="D364" s="166"/>
      <c r="E364" s="231" t="str">
        <f>IFERROR(INDEX(Servicios!$B:$B,MATCH($D364,Servicios!$A:$A,0)),"")</f>
        <v/>
      </c>
      <c r="F364" s="166"/>
      <c r="G364" s="166"/>
      <c r="H364" s="230">
        <f>IFERROR(INDEX(Servicios!$D:$D,MATCH($D364,Servicios!$A:$A,0)),0)</f>
        <v>0</v>
      </c>
      <c r="I364" s="226">
        <f>IFERROR(INDEX(Servicios!$E:$E,MATCH($D364,Servicios!$A:$A,0)),0)</f>
        <v>0</v>
      </c>
      <c r="J364" s="156"/>
      <c r="K364" s="226">
        <f t="shared" si="11"/>
        <v>0</v>
      </c>
      <c r="L364" s="226">
        <f>IFERROR(K364*IFERROR(INDEX(Servicios!$G:$G,MATCH($D364,Servicios!$A:$A,0)),0),0)</f>
        <v>0</v>
      </c>
      <c r="M364" s="226">
        <f>IFERROR(K364-L364-IFERROR(INDEX(Servicios!$F:$F,MATCH($D364,Servicios!$A:$A,0)),0),0)</f>
        <v>0</v>
      </c>
    </row>
    <row r="365" spans="1:13" ht="15" customHeight="1" x14ac:dyDescent="0.3">
      <c r="A365" s="165"/>
      <c r="B365" s="231" t="str">
        <f t="shared" si="10"/>
        <v/>
      </c>
      <c r="C365" s="166"/>
      <c r="D365" s="166"/>
      <c r="E365" s="231" t="str">
        <f>IFERROR(INDEX(Servicios!$B:$B,MATCH($D365,Servicios!$A:$A,0)),"")</f>
        <v/>
      </c>
      <c r="F365" s="166"/>
      <c r="G365" s="166"/>
      <c r="H365" s="230">
        <f>IFERROR(INDEX(Servicios!$D:$D,MATCH($D365,Servicios!$A:$A,0)),0)</f>
        <v>0</v>
      </c>
      <c r="I365" s="226">
        <f>IFERROR(INDEX(Servicios!$E:$E,MATCH($D365,Servicios!$A:$A,0)),0)</f>
        <v>0</v>
      </c>
      <c r="J365" s="156"/>
      <c r="K365" s="226">
        <f t="shared" si="11"/>
        <v>0</v>
      </c>
      <c r="L365" s="226">
        <f>IFERROR(K365*IFERROR(INDEX(Servicios!$G:$G,MATCH($D365,Servicios!$A:$A,0)),0),0)</f>
        <v>0</v>
      </c>
      <c r="M365" s="226">
        <f>IFERROR(K365-L365-IFERROR(INDEX(Servicios!$F:$F,MATCH($D365,Servicios!$A:$A,0)),0),0)</f>
        <v>0</v>
      </c>
    </row>
    <row r="366" spans="1:13" ht="15" customHeight="1" x14ac:dyDescent="0.3">
      <c r="A366" s="165"/>
      <c r="B366" s="231" t="str">
        <f t="shared" si="10"/>
        <v/>
      </c>
      <c r="C366" s="166"/>
      <c r="D366" s="166"/>
      <c r="E366" s="231" t="str">
        <f>IFERROR(INDEX(Servicios!$B:$B,MATCH($D366,Servicios!$A:$A,0)),"")</f>
        <v/>
      </c>
      <c r="F366" s="166"/>
      <c r="G366" s="166"/>
      <c r="H366" s="230">
        <f>IFERROR(INDEX(Servicios!$D:$D,MATCH($D366,Servicios!$A:$A,0)),0)</f>
        <v>0</v>
      </c>
      <c r="I366" s="226">
        <f>IFERROR(INDEX(Servicios!$E:$E,MATCH($D366,Servicios!$A:$A,0)),0)</f>
        <v>0</v>
      </c>
      <c r="J366" s="156"/>
      <c r="K366" s="226">
        <f t="shared" si="11"/>
        <v>0</v>
      </c>
      <c r="L366" s="226">
        <f>IFERROR(K366*IFERROR(INDEX(Servicios!$G:$G,MATCH($D366,Servicios!$A:$A,0)),0),0)</f>
        <v>0</v>
      </c>
      <c r="M366" s="226">
        <f>IFERROR(K366-L366-IFERROR(INDEX(Servicios!$F:$F,MATCH($D366,Servicios!$A:$A,0)),0),0)</f>
        <v>0</v>
      </c>
    </row>
    <row r="367" spans="1:13" ht="15" customHeight="1" x14ac:dyDescent="0.3">
      <c r="A367" s="165"/>
      <c r="B367" s="231" t="str">
        <f t="shared" si="10"/>
        <v/>
      </c>
      <c r="C367" s="166"/>
      <c r="D367" s="166"/>
      <c r="E367" s="231" t="str">
        <f>IFERROR(INDEX(Servicios!$B:$B,MATCH($D367,Servicios!$A:$A,0)),"")</f>
        <v/>
      </c>
      <c r="F367" s="166"/>
      <c r="G367" s="166"/>
      <c r="H367" s="230">
        <f>IFERROR(INDEX(Servicios!$D:$D,MATCH($D367,Servicios!$A:$A,0)),0)</f>
        <v>0</v>
      </c>
      <c r="I367" s="226">
        <f>IFERROR(INDEX(Servicios!$E:$E,MATCH($D367,Servicios!$A:$A,0)),0)</f>
        <v>0</v>
      </c>
      <c r="J367" s="156"/>
      <c r="K367" s="226">
        <f t="shared" si="11"/>
        <v>0</v>
      </c>
      <c r="L367" s="226">
        <f>IFERROR(K367*IFERROR(INDEX(Servicios!$G:$G,MATCH($D367,Servicios!$A:$A,0)),0),0)</f>
        <v>0</v>
      </c>
      <c r="M367" s="226">
        <f>IFERROR(K367-L367-IFERROR(INDEX(Servicios!$F:$F,MATCH($D367,Servicios!$A:$A,0)),0),0)</f>
        <v>0</v>
      </c>
    </row>
    <row r="368" spans="1:13" ht="15" customHeight="1" x14ac:dyDescent="0.3">
      <c r="A368" s="165"/>
      <c r="B368" s="231" t="str">
        <f t="shared" si="10"/>
        <v/>
      </c>
      <c r="C368" s="166"/>
      <c r="D368" s="166"/>
      <c r="E368" s="231" t="str">
        <f>IFERROR(INDEX(Servicios!$B:$B,MATCH($D368,Servicios!$A:$A,0)),"")</f>
        <v/>
      </c>
      <c r="F368" s="166"/>
      <c r="G368" s="166"/>
      <c r="H368" s="230">
        <f>IFERROR(INDEX(Servicios!$D:$D,MATCH($D368,Servicios!$A:$A,0)),0)</f>
        <v>0</v>
      </c>
      <c r="I368" s="226">
        <f>IFERROR(INDEX(Servicios!$E:$E,MATCH($D368,Servicios!$A:$A,0)),0)</f>
        <v>0</v>
      </c>
      <c r="J368" s="156"/>
      <c r="K368" s="226">
        <f t="shared" si="11"/>
        <v>0</v>
      </c>
      <c r="L368" s="226">
        <f>IFERROR(K368*IFERROR(INDEX(Servicios!$G:$G,MATCH($D368,Servicios!$A:$A,0)),0),0)</f>
        <v>0</v>
      </c>
      <c r="M368" s="226">
        <f>IFERROR(K368-L368-IFERROR(INDEX(Servicios!$F:$F,MATCH($D368,Servicios!$A:$A,0)),0),0)</f>
        <v>0</v>
      </c>
    </row>
    <row r="369" spans="1:13" ht="15" customHeight="1" x14ac:dyDescent="0.3">
      <c r="A369" s="165"/>
      <c r="B369" s="231" t="str">
        <f t="shared" si="10"/>
        <v/>
      </c>
      <c r="C369" s="166"/>
      <c r="D369" s="166"/>
      <c r="E369" s="231" t="str">
        <f>IFERROR(INDEX(Servicios!$B:$B,MATCH($D369,Servicios!$A:$A,0)),"")</f>
        <v/>
      </c>
      <c r="F369" s="166"/>
      <c r="G369" s="166"/>
      <c r="H369" s="230">
        <f>IFERROR(INDEX(Servicios!$D:$D,MATCH($D369,Servicios!$A:$A,0)),0)</f>
        <v>0</v>
      </c>
      <c r="I369" s="226">
        <f>IFERROR(INDEX(Servicios!$E:$E,MATCH($D369,Servicios!$A:$A,0)),0)</f>
        <v>0</v>
      </c>
      <c r="J369" s="156"/>
      <c r="K369" s="226">
        <f t="shared" si="11"/>
        <v>0</v>
      </c>
      <c r="L369" s="226">
        <f>IFERROR(K369*IFERROR(INDEX(Servicios!$G:$G,MATCH($D369,Servicios!$A:$A,0)),0),0)</f>
        <v>0</v>
      </c>
      <c r="M369" s="226">
        <f>IFERROR(K369-L369-IFERROR(INDEX(Servicios!$F:$F,MATCH($D369,Servicios!$A:$A,0)),0),0)</f>
        <v>0</v>
      </c>
    </row>
    <row r="370" spans="1:13" ht="15" customHeight="1" x14ac:dyDescent="0.3">
      <c r="A370" s="165"/>
      <c r="B370" s="231" t="str">
        <f t="shared" si="10"/>
        <v/>
      </c>
      <c r="C370" s="166"/>
      <c r="D370" s="166"/>
      <c r="E370" s="231" t="str">
        <f>IFERROR(INDEX(Servicios!$B:$B,MATCH($D370,Servicios!$A:$A,0)),"")</f>
        <v/>
      </c>
      <c r="F370" s="166"/>
      <c r="G370" s="166"/>
      <c r="H370" s="230">
        <f>IFERROR(INDEX(Servicios!$D:$D,MATCH($D370,Servicios!$A:$A,0)),0)</f>
        <v>0</v>
      </c>
      <c r="I370" s="226">
        <f>IFERROR(INDEX(Servicios!$E:$E,MATCH($D370,Servicios!$A:$A,0)),0)</f>
        <v>0</v>
      </c>
      <c r="J370" s="156"/>
      <c r="K370" s="226">
        <f t="shared" si="11"/>
        <v>0</v>
      </c>
      <c r="L370" s="226">
        <f>IFERROR(K370*IFERROR(INDEX(Servicios!$G:$G,MATCH($D370,Servicios!$A:$A,0)),0),0)</f>
        <v>0</v>
      </c>
      <c r="M370" s="226">
        <f>IFERROR(K370-L370-IFERROR(INDEX(Servicios!$F:$F,MATCH($D370,Servicios!$A:$A,0)),0),0)</f>
        <v>0</v>
      </c>
    </row>
    <row r="371" spans="1:13" ht="15" customHeight="1" x14ac:dyDescent="0.3">
      <c r="A371" s="165"/>
      <c r="B371" s="231" t="str">
        <f t="shared" si="10"/>
        <v/>
      </c>
      <c r="C371" s="166"/>
      <c r="D371" s="166"/>
      <c r="E371" s="231" t="str">
        <f>IFERROR(INDEX(Servicios!$B:$B,MATCH($D371,Servicios!$A:$A,0)),"")</f>
        <v/>
      </c>
      <c r="F371" s="166"/>
      <c r="G371" s="166"/>
      <c r="H371" s="230">
        <f>IFERROR(INDEX(Servicios!$D:$D,MATCH($D371,Servicios!$A:$A,0)),0)</f>
        <v>0</v>
      </c>
      <c r="I371" s="226">
        <f>IFERROR(INDEX(Servicios!$E:$E,MATCH($D371,Servicios!$A:$A,0)),0)</f>
        <v>0</v>
      </c>
      <c r="J371" s="156"/>
      <c r="K371" s="226">
        <f t="shared" si="11"/>
        <v>0</v>
      </c>
      <c r="L371" s="226">
        <f>IFERROR(K371*IFERROR(INDEX(Servicios!$G:$G,MATCH($D371,Servicios!$A:$A,0)),0),0)</f>
        <v>0</v>
      </c>
      <c r="M371" s="226">
        <f>IFERROR(K371-L371-IFERROR(INDEX(Servicios!$F:$F,MATCH($D371,Servicios!$A:$A,0)),0),0)</f>
        <v>0</v>
      </c>
    </row>
    <row r="372" spans="1:13" ht="15" customHeight="1" x14ac:dyDescent="0.3">
      <c r="A372" s="165"/>
      <c r="B372" s="231" t="str">
        <f t="shared" si="10"/>
        <v/>
      </c>
      <c r="C372" s="166"/>
      <c r="D372" s="166"/>
      <c r="E372" s="231" t="str">
        <f>IFERROR(INDEX(Servicios!$B:$B,MATCH($D372,Servicios!$A:$A,0)),"")</f>
        <v/>
      </c>
      <c r="F372" s="166"/>
      <c r="G372" s="166"/>
      <c r="H372" s="230">
        <f>IFERROR(INDEX(Servicios!$D:$D,MATCH($D372,Servicios!$A:$A,0)),0)</f>
        <v>0</v>
      </c>
      <c r="I372" s="226">
        <f>IFERROR(INDEX(Servicios!$E:$E,MATCH($D372,Servicios!$A:$A,0)),0)</f>
        <v>0</v>
      </c>
      <c r="J372" s="156"/>
      <c r="K372" s="226">
        <f t="shared" si="11"/>
        <v>0</v>
      </c>
      <c r="L372" s="226">
        <f>IFERROR(K372*IFERROR(INDEX(Servicios!$G:$G,MATCH($D372,Servicios!$A:$A,0)),0),0)</f>
        <v>0</v>
      </c>
      <c r="M372" s="226">
        <f>IFERROR(K372-L372-IFERROR(INDEX(Servicios!$F:$F,MATCH($D372,Servicios!$A:$A,0)),0),0)</f>
        <v>0</v>
      </c>
    </row>
    <row r="373" spans="1:13" ht="15" customHeight="1" x14ac:dyDescent="0.3">
      <c r="A373" s="165"/>
      <c r="B373" s="231" t="str">
        <f t="shared" si="10"/>
        <v/>
      </c>
      <c r="C373" s="166"/>
      <c r="D373" s="166"/>
      <c r="E373" s="231" t="str">
        <f>IFERROR(INDEX(Servicios!$B:$B,MATCH($D373,Servicios!$A:$A,0)),"")</f>
        <v/>
      </c>
      <c r="F373" s="166"/>
      <c r="G373" s="166"/>
      <c r="H373" s="230">
        <f>IFERROR(INDEX(Servicios!$D:$D,MATCH($D373,Servicios!$A:$A,0)),0)</f>
        <v>0</v>
      </c>
      <c r="I373" s="226">
        <f>IFERROR(INDEX(Servicios!$E:$E,MATCH($D373,Servicios!$A:$A,0)),0)</f>
        <v>0</v>
      </c>
      <c r="J373" s="156"/>
      <c r="K373" s="226">
        <f t="shared" si="11"/>
        <v>0</v>
      </c>
      <c r="L373" s="226">
        <f>IFERROR(K373*IFERROR(INDEX(Servicios!$G:$G,MATCH($D373,Servicios!$A:$A,0)),0),0)</f>
        <v>0</v>
      </c>
      <c r="M373" s="226">
        <f>IFERROR(K373-L373-IFERROR(INDEX(Servicios!$F:$F,MATCH($D373,Servicios!$A:$A,0)),0),0)</f>
        <v>0</v>
      </c>
    </row>
    <row r="374" spans="1:13" ht="15" customHeight="1" x14ac:dyDescent="0.3">
      <c r="A374" s="165"/>
      <c r="B374" s="231" t="str">
        <f t="shared" si="10"/>
        <v/>
      </c>
      <c r="C374" s="166"/>
      <c r="D374" s="166"/>
      <c r="E374" s="231" t="str">
        <f>IFERROR(INDEX(Servicios!$B:$B,MATCH($D374,Servicios!$A:$A,0)),"")</f>
        <v/>
      </c>
      <c r="F374" s="166"/>
      <c r="G374" s="166"/>
      <c r="H374" s="230">
        <f>IFERROR(INDEX(Servicios!$D:$D,MATCH($D374,Servicios!$A:$A,0)),0)</f>
        <v>0</v>
      </c>
      <c r="I374" s="226">
        <f>IFERROR(INDEX(Servicios!$E:$E,MATCH($D374,Servicios!$A:$A,0)),0)</f>
        <v>0</v>
      </c>
      <c r="J374" s="156"/>
      <c r="K374" s="226">
        <f t="shared" si="11"/>
        <v>0</v>
      </c>
      <c r="L374" s="226">
        <f>IFERROR(K374*IFERROR(INDEX(Servicios!$G:$G,MATCH($D374,Servicios!$A:$A,0)),0),0)</f>
        <v>0</v>
      </c>
      <c r="M374" s="226">
        <f>IFERROR(K374-L374-IFERROR(INDEX(Servicios!$F:$F,MATCH($D374,Servicios!$A:$A,0)),0),0)</f>
        <v>0</v>
      </c>
    </row>
    <row r="375" spans="1:13" ht="15" customHeight="1" x14ac:dyDescent="0.3">
      <c r="A375" s="165"/>
      <c r="B375" s="231" t="str">
        <f t="shared" si="10"/>
        <v/>
      </c>
      <c r="C375" s="166"/>
      <c r="D375" s="166"/>
      <c r="E375" s="231" t="str">
        <f>IFERROR(INDEX(Servicios!$B:$B,MATCH($D375,Servicios!$A:$A,0)),"")</f>
        <v/>
      </c>
      <c r="F375" s="166"/>
      <c r="G375" s="166"/>
      <c r="H375" s="230">
        <f>IFERROR(INDEX(Servicios!$D:$D,MATCH($D375,Servicios!$A:$A,0)),0)</f>
        <v>0</v>
      </c>
      <c r="I375" s="226">
        <f>IFERROR(INDEX(Servicios!$E:$E,MATCH($D375,Servicios!$A:$A,0)),0)</f>
        <v>0</v>
      </c>
      <c r="J375" s="156"/>
      <c r="K375" s="226">
        <f t="shared" si="11"/>
        <v>0</v>
      </c>
      <c r="L375" s="226">
        <f>IFERROR(K375*IFERROR(INDEX(Servicios!$G:$G,MATCH($D375,Servicios!$A:$A,0)),0),0)</f>
        <v>0</v>
      </c>
      <c r="M375" s="226">
        <f>IFERROR(K375-L375-IFERROR(INDEX(Servicios!$F:$F,MATCH($D375,Servicios!$A:$A,0)),0),0)</f>
        <v>0</v>
      </c>
    </row>
    <row r="376" spans="1:13" ht="15" customHeight="1" x14ac:dyDescent="0.3">
      <c r="A376" s="165"/>
      <c r="B376" s="231" t="str">
        <f t="shared" si="10"/>
        <v/>
      </c>
      <c r="C376" s="166"/>
      <c r="D376" s="166"/>
      <c r="E376" s="231" t="str">
        <f>IFERROR(INDEX(Servicios!$B:$B,MATCH($D376,Servicios!$A:$A,0)),"")</f>
        <v/>
      </c>
      <c r="F376" s="166"/>
      <c r="G376" s="166"/>
      <c r="H376" s="230">
        <f>IFERROR(INDEX(Servicios!$D:$D,MATCH($D376,Servicios!$A:$A,0)),0)</f>
        <v>0</v>
      </c>
      <c r="I376" s="226">
        <f>IFERROR(INDEX(Servicios!$E:$E,MATCH($D376,Servicios!$A:$A,0)),0)</f>
        <v>0</v>
      </c>
      <c r="J376" s="156"/>
      <c r="K376" s="226">
        <f t="shared" si="11"/>
        <v>0</v>
      </c>
      <c r="L376" s="226">
        <f>IFERROR(K376*IFERROR(INDEX(Servicios!$G:$G,MATCH($D376,Servicios!$A:$A,0)),0),0)</f>
        <v>0</v>
      </c>
      <c r="M376" s="226">
        <f>IFERROR(K376-L376-IFERROR(INDEX(Servicios!$F:$F,MATCH($D376,Servicios!$A:$A,0)),0),0)</f>
        <v>0</v>
      </c>
    </row>
    <row r="377" spans="1:13" ht="15" customHeight="1" x14ac:dyDescent="0.3">
      <c r="A377" s="165"/>
      <c r="B377" s="231" t="str">
        <f t="shared" si="10"/>
        <v/>
      </c>
      <c r="C377" s="166"/>
      <c r="D377" s="166"/>
      <c r="E377" s="231" t="str">
        <f>IFERROR(INDEX(Servicios!$B:$B,MATCH($D377,Servicios!$A:$A,0)),"")</f>
        <v/>
      </c>
      <c r="F377" s="166"/>
      <c r="G377" s="166"/>
      <c r="H377" s="230">
        <f>IFERROR(INDEX(Servicios!$D:$D,MATCH($D377,Servicios!$A:$A,0)),0)</f>
        <v>0</v>
      </c>
      <c r="I377" s="226">
        <f>IFERROR(INDEX(Servicios!$E:$E,MATCH($D377,Servicios!$A:$A,0)),0)</f>
        <v>0</v>
      </c>
      <c r="J377" s="156"/>
      <c r="K377" s="226">
        <f t="shared" si="11"/>
        <v>0</v>
      </c>
      <c r="L377" s="226">
        <f>IFERROR(K377*IFERROR(INDEX(Servicios!$G:$G,MATCH($D377,Servicios!$A:$A,0)),0),0)</f>
        <v>0</v>
      </c>
      <c r="M377" s="226">
        <f>IFERROR(K377-L377-IFERROR(INDEX(Servicios!$F:$F,MATCH($D377,Servicios!$A:$A,0)),0),0)</f>
        <v>0</v>
      </c>
    </row>
    <row r="378" spans="1:13" ht="15" customHeight="1" x14ac:dyDescent="0.3">
      <c r="A378" s="165"/>
      <c r="B378" s="231" t="str">
        <f t="shared" si="10"/>
        <v/>
      </c>
      <c r="C378" s="166"/>
      <c r="D378" s="166"/>
      <c r="E378" s="231" t="str">
        <f>IFERROR(INDEX(Servicios!$B:$B,MATCH($D378,Servicios!$A:$A,0)),"")</f>
        <v/>
      </c>
      <c r="F378" s="166"/>
      <c r="G378" s="166"/>
      <c r="H378" s="230">
        <f>IFERROR(INDEX(Servicios!$D:$D,MATCH($D378,Servicios!$A:$A,0)),0)</f>
        <v>0</v>
      </c>
      <c r="I378" s="226">
        <f>IFERROR(INDEX(Servicios!$E:$E,MATCH($D378,Servicios!$A:$A,0)),0)</f>
        <v>0</v>
      </c>
      <c r="J378" s="156"/>
      <c r="K378" s="226">
        <f t="shared" si="11"/>
        <v>0</v>
      </c>
      <c r="L378" s="226">
        <f>IFERROR(K378*IFERROR(INDEX(Servicios!$G:$G,MATCH($D378,Servicios!$A:$A,0)),0),0)</f>
        <v>0</v>
      </c>
      <c r="M378" s="226">
        <f>IFERROR(K378-L378-IFERROR(INDEX(Servicios!$F:$F,MATCH($D378,Servicios!$A:$A,0)),0),0)</f>
        <v>0</v>
      </c>
    </row>
    <row r="379" spans="1:13" ht="15" customHeight="1" x14ac:dyDescent="0.3">
      <c r="A379" s="165"/>
      <c r="B379" s="231" t="str">
        <f t="shared" si="10"/>
        <v/>
      </c>
      <c r="C379" s="166"/>
      <c r="D379" s="166"/>
      <c r="E379" s="231" t="str">
        <f>IFERROR(INDEX(Servicios!$B:$B,MATCH($D379,Servicios!$A:$A,0)),"")</f>
        <v/>
      </c>
      <c r="F379" s="166"/>
      <c r="G379" s="166"/>
      <c r="H379" s="230">
        <f>IFERROR(INDEX(Servicios!$D:$D,MATCH($D379,Servicios!$A:$A,0)),0)</f>
        <v>0</v>
      </c>
      <c r="I379" s="226">
        <f>IFERROR(INDEX(Servicios!$E:$E,MATCH($D379,Servicios!$A:$A,0)),0)</f>
        <v>0</v>
      </c>
      <c r="J379" s="156"/>
      <c r="K379" s="226">
        <f t="shared" si="11"/>
        <v>0</v>
      </c>
      <c r="L379" s="226">
        <f>IFERROR(K379*IFERROR(INDEX(Servicios!$G:$G,MATCH($D379,Servicios!$A:$A,0)),0),0)</f>
        <v>0</v>
      </c>
      <c r="M379" s="226">
        <f>IFERROR(K379-L379-IFERROR(INDEX(Servicios!$F:$F,MATCH($D379,Servicios!$A:$A,0)),0),0)</f>
        <v>0</v>
      </c>
    </row>
    <row r="380" spans="1:13" ht="15" customHeight="1" x14ac:dyDescent="0.3">
      <c r="A380" s="165"/>
      <c r="B380" s="231" t="str">
        <f t="shared" si="10"/>
        <v/>
      </c>
      <c r="C380" s="166"/>
      <c r="D380" s="166"/>
      <c r="E380" s="231" t="str">
        <f>IFERROR(INDEX(Servicios!$B:$B,MATCH($D380,Servicios!$A:$A,0)),"")</f>
        <v/>
      </c>
      <c r="F380" s="166"/>
      <c r="G380" s="166"/>
      <c r="H380" s="230">
        <f>IFERROR(INDEX(Servicios!$D:$D,MATCH($D380,Servicios!$A:$A,0)),0)</f>
        <v>0</v>
      </c>
      <c r="I380" s="226">
        <f>IFERROR(INDEX(Servicios!$E:$E,MATCH($D380,Servicios!$A:$A,0)),0)</f>
        <v>0</v>
      </c>
      <c r="J380" s="156"/>
      <c r="K380" s="226">
        <f t="shared" si="11"/>
        <v>0</v>
      </c>
      <c r="L380" s="226">
        <f>IFERROR(K380*IFERROR(INDEX(Servicios!$G:$G,MATCH($D380,Servicios!$A:$A,0)),0),0)</f>
        <v>0</v>
      </c>
      <c r="M380" s="226">
        <f>IFERROR(K380-L380-IFERROR(INDEX(Servicios!$F:$F,MATCH($D380,Servicios!$A:$A,0)),0),0)</f>
        <v>0</v>
      </c>
    </row>
    <row r="381" spans="1:13" ht="15" customHeight="1" x14ac:dyDescent="0.3">
      <c r="A381" s="165"/>
      <c r="B381" s="231" t="str">
        <f t="shared" si="10"/>
        <v/>
      </c>
      <c r="C381" s="166"/>
      <c r="D381" s="166"/>
      <c r="E381" s="231" t="str">
        <f>IFERROR(INDEX(Servicios!$B:$B,MATCH($D381,Servicios!$A:$A,0)),"")</f>
        <v/>
      </c>
      <c r="F381" s="166"/>
      <c r="G381" s="166"/>
      <c r="H381" s="230">
        <f>IFERROR(INDEX(Servicios!$D:$D,MATCH($D381,Servicios!$A:$A,0)),0)</f>
        <v>0</v>
      </c>
      <c r="I381" s="226">
        <f>IFERROR(INDEX(Servicios!$E:$E,MATCH($D381,Servicios!$A:$A,0)),0)</f>
        <v>0</v>
      </c>
      <c r="J381" s="156"/>
      <c r="K381" s="226">
        <f t="shared" si="11"/>
        <v>0</v>
      </c>
      <c r="L381" s="226">
        <f>IFERROR(K381*IFERROR(INDEX(Servicios!$G:$G,MATCH($D381,Servicios!$A:$A,0)),0),0)</f>
        <v>0</v>
      </c>
      <c r="M381" s="226">
        <f>IFERROR(K381-L381-IFERROR(INDEX(Servicios!$F:$F,MATCH($D381,Servicios!$A:$A,0)),0),0)</f>
        <v>0</v>
      </c>
    </row>
    <row r="382" spans="1:13" ht="15" customHeight="1" x14ac:dyDescent="0.3">
      <c r="A382" s="165"/>
      <c r="B382" s="231" t="str">
        <f t="shared" si="10"/>
        <v/>
      </c>
      <c r="C382" s="166"/>
      <c r="D382" s="166"/>
      <c r="E382" s="231" t="str">
        <f>IFERROR(INDEX(Servicios!$B:$B,MATCH($D382,Servicios!$A:$A,0)),"")</f>
        <v/>
      </c>
      <c r="F382" s="166"/>
      <c r="G382" s="166"/>
      <c r="H382" s="230">
        <f>IFERROR(INDEX(Servicios!$D:$D,MATCH($D382,Servicios!$A:$A,0)),0)</f>
        <v>0</v>
      </c>
      <c r="I382" s="226">
        <f>IFERROR(INDEX(Servicios!$E:$E,MATCH($D382,Servicios!$A:$A,0)),0)</f>
        <v>0</v>
      </c>
      <c r="J382" s="156"/>
      <c r="K382" s="226">
        <f t="shared" ref="K382:K404" si="12">IFERROR(I382*(1-N(J382)),0)</f>
        <v>0</v>
      </c>
      <c r="L382" s="226">
        <f>IFERROR(K382*IFERROR(INDEX(Servicios!$G:$G,MATCH($D382,Servicios!$A:$A,0)),0),0)</f>
        <v>0</v>
      </c>
      <c r="M382" s="226">
        <f>IFERROR(K382-L382-IFERROR(INDEX(Servicios!$F:$F,MATCH($D382,Servicios!$A:$A,0)),0),0)</f>
        <v>0</v>
      </c>
    </row>
    <row r="383" spans="1:13" ht="15" customHeight="1" x14ac:dyDescent="0.3">
      <c r="A383" s="165"/>
      <c r="B383" s="231" t="str">
        <f t="shared" si="10"/>
        <v/>
      </c>
      <c r="C383" s="166"/>
      <c r="D383" s="166"/>
      <c r="E383" s="231" t="str">
        <f>IFERROR(INDEX(Servicios!$B:$B,MATCH($D383,Servicios!$A:$A,0)),"")</f>
        <v/>
      </c>
      <c r="F383" s="166"/>
      <c r="G383" s="166"/>
      <c r="H383" s="230">
        <f>IFERROR(INDEX(Servicios!$D:$D,MATCH($D383,Servicios!$A:$A,0)),0)</f>
        <v>0</v>
      </c>
      <c r="I383" s="226">
        <f>IFERROR(INDEX(Servicios!$E:$E,MATCH($D383,Servicios!$A:$A,0)),0)</f>
        <v>0</v>
      </c>
      <c r="J383" s="156"/>
      <c r="K383" s="226">
        <f t="shared" si="12"/>
        <v>0</v>
      </c>
      <c r="L383" s="226">
        <f>IFERROR(K383*IFERROR(INDEX(Servicios!$G:$G,MATCH($D383,Servicios!$A:$A,0)),0),0)</f>
        <v>0</v>
      </c>
      <c r="M383" s="226">
        <f>IFERROR(K383-L383-IFERROR(INDEX(Servicios!$F:$F,MATCH($D383,Servicios!$A:$A,0)),0),0)</f>
        <v>0</v>
      </c>
    </row>
    <row r="384" spans="1:13" ht="15" customHeight="1" x14ac:dyDescent="0.3">
      <c r="A384" s="165"/>
      <c r="B384" s="231" t="str">
        <f t="shared" si="10"/>
        <v/>
      </c>
      <c r="C384" s="166"/>
      <c r="D384" s="166"/>
      <c r="E384" s="231" t="str">
        <f>IFERROR(INDEX(Servicios!$B:$B,MATCH($D384,Servicios!$A:$A,0)),"")</f>
        <v/>
      </c>
      <c r="F384" s="166"/>
      <c r="G384" s="166"/>
      <c r="H384" s="230">
        <f>IFERROR(INDEX(Servicios!$D:$D,MATCH($D384,Servicios!$A:$A,0)),0)</f>
        <v>0</v>
      </c>
      <c r="I384" s="226">
        <f>IFERROR(INDEX(Servicios!$E:$E,MATCH($D384,Servicios!$A:$A,0)),0)</f>
        <v>0</v>
      </c>
      <c r="J384" s="156"/>
      <c r="K384" s="226">
        <f t="shared" si="12"/>
        <v>0</v>
      </c>
      <c r="L384" s="226">
        <f>IFERROR(K384*IFERROR(INDEX(Servicios!$G:$G,MATCH($D384,Servicios!$A:$A,0)),0),0)</f>
        <v>0</v>
      </c>
      <c r="M384" s="226">
        <f>IFERROR(K384-L384-IFERROR(INDEX(Servicios!$F:$F,MATCH($D384,Servicios!$A:$A,0)),0),0)</f>
        <v>0</v>
      </c>
    </row>
    <row r="385" spans="1:13" ht="15" customHeight="1" x14ac:dyDescent="0.3">
      <c r="A385" s="165"/>
      <c r="B385" s="231" t="str">
        <f t="shared" si="10"/>
        <v/>
      </c>
      <c r="C385" s="166"/>
      <c r="D385" s="166"/>
      <c r="E385" s="231" t="str">
        <f>IFERROR(INDEX(Servicios!$B:$B,MATCH($D385,Servicios!$A:$A,0)),"")</f>
        <v/>
      </c>
      <c r="F385" s="166"/>
      <c r="G385" s="166"/>
      <c r="H385" s="230">
        <f>IFERROR(INDEX(Servicios!$D:$D,MATCH($D385,Servicios!$A:$A,0)),0)</f>
        <v>0</v>
      </c>
      <c r="I385" s="226">
        <f>IFERROR(INDEX(Servicios!$E:$E,MATCH($D385,Servicios!$A:$A,0)),0)</f>
        <v>0</v>
      </c>
      <c r="J385" s="156"/>
      <c r="K385" s="226">
        <f t="shared" si="12"/>
        <v>0</v>
      </c>
      <c r="L385" s="226">
        <f>IFERROR(K385*IFERROR(INDEX(Servicios!$G:$G,MATCH($D385,Servicios!$A:$A,0)),0),0)</f>
        <v>0</v>
      </c>
      <c r="M385" s="226">
        <f>IFERROR(K385-L385-IFERROR(INDEX(Servicios!$F:$F,MATCH($D385,Servicios!$A:$A,0)),0),0)</f>
        <v>0</v>
      </c>
    </row>
    <row r="386" spans="1:13" ht="15" customHeight="1" x14ac:dyDescent="0.3">
      <c r="A386" s="165"/>
      <c r="B386" s="231" t="str">
        <f t="shared" si="10"/>
        <v/>
      </c>
      <c r="C386" s="166"/>
      <c r="D386" s="166"/>
      <c r="E386" s="231" t="str">
        <f>IFERROR(INDEX(Servicios!$B:$B,MATCH($D386,Servicios!$A:$A,0)),"")</f>
        <v/>
      </c>
      <c r="F386" s="166"/>
      <c r="G386" s="166"/>
      <c r="H386" s="230">
        <f>IFERROR(INDEX(Servicios!$D:$D,MATCH($D386,Servicios!$A:$A,0)),0)</f>
        <v>0</v>
      </c>
      <c r="I386" s="226">
        <f>IFERROR(INDEX(Servicios!$E:$E,MATCH($D386,Servicios!$A:$A,0)),0)</f>
        <v>0</v>
      </c>
      <c r="J386" s="156"/>
      <c r="K386" s="226">
        <f t="shared" si="12"/>
        <v>0</v>
      </c>
      <c r="L386" s="226">
        <f>IFERROR(K386*IFERROR(INDEX(Servicios!$G:$G,MATCH($D386,Servicios!$A:$A,0)),0),0)</f>
        <v>0</v>
      </c>
      <c r="M386" s="226">
        <f>IFERROR(K386-L386-IFERROR(INDEX(Servicios!$F:$F,MATCH($D386,Servicios!$A:$A,0)),0),0)</f>
        <v>0</v>
      </c>
    </row>
    <row r="387" spans="1:13" ht="15" customHeight="1" x14ac:dyDescent="0.3">
      <c r="A387" s="165"/>
      <c r="B387" s="231" t="str">
        <f t="shared" si="10"/>
        <v/>
      </c>
      <c r="C387" s="166"/>
      <c r="D387" s="166"/>
      <c r="E387" s="231" t="str">
        <f>IFERROR(INDEX(Servicios!$B:$B,MATCH($D387,Servicios!$A:$A,0)),"")</f>
        <v/>
      </c>
      <c r="F387" s="166"/>
      <c r="G387" s="166"/>
      <c r="H387" s="230">
        <f>IFERROR(INDEX(Servicios!$D:$D,MATCH($D387,Servicios!$A:$A,0)),0)</f>
        <v>0</v>
      </c>
      <c r="I387" s="226">
        <f>IFERROR(INDEX(Servicios!$E:$E,MATCH($D387,Servicios!$A:$A,0)),0)</f>
        <v>0</v>
      </c>
      <c r="J387" s="156"/>
      <c r="K387" s="226">
        <f t="shared" si="12"/>
        <v>0</v>
      </c>
      <c r="L387" s="226">
        <f>IFERROR(K387*IFERROR(INDEX(Servicios!$G:$G,MATCH($D387,Servicios!$A:$A,0)),0),0)</f>
        <v>0</v>
      </c>
      <c r="M387" s="226">
        <f>IFERROR(K387-L387-IFERROR(INDEX(Servicios!$F:$F,MATCH($D387,Servicios!$A:$A,0)),0),0)</f>
        <v>0</v>
      </c>
    </row>
    <row r="388" spans="1:13" ht="15" customHeight="1" x14ac:dyDescent="0.3">
      <c r="A388" s="165"/>
      <c r="B388" s="231" t="str">
        <f t="shared" si="10"/>
        <v/>
      </c>
      <c r="C388" s="166"/>
      <c r="D388" s="166"/>
      <c r="E388" s="231" t="str">
        <f>IFERROR(INDEX(Servicios!$B:$B,MATCH($D388,Servicios!$A:$A,0)),"")</f>
        <v/>
      </c>
      <c r="F388" s="166"/>
      <c r="G388" s="166"/>
      <c r="H388" s="230">
        <f>IFERROR(INDEX(Servicios!$D:$D,MATCH($D388,Servicios!$A:$A,0)),0)</f>
        <v>0</v>
      </c>
      <c r="I388" s="226">
        <f>IFERROR(INDEX(Servicios!$E:$E,MATCH($D388,Servicios!$A:$A,0)),0)</f>
        <v>0</v>
      </c>
      <c r="J388" s="156"/>
      <c r="K388" s="226">
        <f t="shared" si="12"/>
        <v>0</v>
      </c>
      <c r="L388" s="226">
        <f>IFERROR(K388*IFERROR(INDEX(Servicios!$G:$G,MATCH($D388,Servicios!$A:$A,0)),0),0)</f>
        <v>0</v>
      </c>
      <c r="M388" s="226">
        <f>IFERROR(K388-L388-IFERROR(INDEX(Servicios!$F:$F,MATCH($D388,Servicios!$A:$A,0)),0),0)</f>
        <v>0</v>
      </c>
    </row>
    <row r="389" spans="1:13" ht="15" customHeight="1" x14ac:dyDescent="0.3">
      <c r="A389" s="165"/>
      <c r="B389" s="231" t="str">
        <f t="shared" si="10"/>
        <v/>
      </c>
      <c r="C389" s="166"/>
      <c r="D389" s="166"/>
      <c r="E389" s="231" t="str">
        <f>IFERROR(INDEX(Servicios!$B:$B,MATCH($D389,Servicios!$A:$A,0)),"")</f>
        <v/>
      </c>
      <c r="F389" s="166"/>
      <c r="G389" s="166"/>
      <c r="H389" s="230">
        <f>IFERROR(INDEX(Servicios!$D:$D,MATCH($D389,Servicios!$A:$A,0)),0)</f>
        <v>0</v>
      </c>
      <c r="I389" s="226">
        <f>IFERROR(INDEX(Servicios!$E:$E,MATCH($D389,Servicios!$A:$A,0)),0)</f>
        <v>0</v>
      </c>
      <c r="J389" s="156"/>
      <c r="K389" s="226">
        <f t="shared" si="12"/>
        <v>0</v>
      </c>
      <c r="L389" s="226">
        <f>IFERROR(K389*IFERROR(INDEX(Servicios!$G:$G,MATCH($D389,Servicios!$A:$A,0)),0),0)</f>
        <v>0</v>
      </c>
      <c r="M389" s="226">
        <f>IFERROR(K389-L389-IFERROR(INDEX(Servicios!$F:$F,MATCH($D389,Servicios!$A:$A,0)),0),0)</f>
        <v>0</v>
      </c>
    </row>
    <row r="390" spans="1:13" ht="15" customHeight="1" x14ac:dyDescent="0.3">
      <c r="A390" s="165"/>
      <c r="B390" s="231" t="str">
        <f t="shared" si="10"/>
        <v/>
      </c>
      <c r="C390" s="166"/>
      <c r="D390" s="166"/>
      <c r="E390" s="231" t="str">
        <f>IFERROR(INDEX(Servicios!$B:$B,MATCH($D390,Servicios!$A:$A,0)),"")</f>
        <v/>
      </c>
      <c r="F390" s="166"/>
      <c r="G390" s="166"/>
      <c r="H390" s="230">
        <f>IFERROR(INDEX(Servicios!$D:$D,MATCH($D390,Servicios!$A:$A,0)),0)</f>
        <v>0</v>
      </c>
      <c r="I390" s="226">
        <f>IFERROR(INDEX(Servicios!$E:$E,MATCH($D390,Servicios!$A:$A,0)),0)</f>
        <v>0</v>
      </c>
      <c r="J390" s="156"/>
      <c r="K390" s="226">
        <f t="shared" si="12"/>
        <v>0</v>
      </c>
      <c r="L390" s="226">
        <f>IFERROR(K390*IFERROR(INDEX(Servicios!$G:$G,MATCH($D390,Servicios!$A:$A,0)),0),0)</f>
        <v>0</v>
      </c>
      <c r="M390" s="226">
        <f>IFERROR(K390-L390-IFERROR(INDEX(Servicios!$F:$F,MATCH($D390,Servicios!$A:$A,0)),0),0)</f>
        <v>0</v>
      </c>
    </row>
    <row r="391" spans="1:13" ht="15" customHeight="1" x14ac:dyDescent="0.3">
      <c r="A391" s="165"/>
      <c r="B391" s="231" t="str">
        <f t="shared" si="10"/>
        <v/>
      </c>
      <c r="C391" s="166"/>
      <c r="D391" s="166"/>
      <c r="E391" s="231" t="str">
        <f>IFERROR(INDEX(Servicios!$B:$B,MATCH($D391,Servicios!$A:$A,0)),"")</f>
        <v/>
      </c>
      <c r="F391" s="166"/>
      <c r="G391" s="166"/>
      <c r="H391" s="230">
        <f>IFERROR(INDEX(Servicios!$D:$D,MATCH($D391,Servicios!$A:$A,0)),0)</f>
        <v>0</v>
      </c>
      <c r="I391" s="226">
        <f>IFERROR(INDEX(Servicios!$E:$E,MATCH($D391,Servicios!$A:$A,0)),0)</f>
        <v>0</v>
      </c>
      <c r="J391" s="156"/>
      <c r="K391" s="226">
        <f t="shared" si="12"/>
        <v>0</v>
      </c>
      <c r="L391" s="226">
        <f>IFERROR(K391*IFERROR(INDEX(Servicios!$G:$G,MATCH($D391,Servicios!$A:$A,0)),0),0)</f>
        <v>0</v>
      </c>
      <c r="M391" s="226">
        <f>IFERROR(K391-L391-IFERROR(INDEX(Servicios!$F:$F,MATCH($D391,Servicios!$A:$A,0)),0),0)</f>
        <v>0</v>
      </c>
    </row>
    <row r="392" spans="1:13" ht="15" customHeight="1" x14ac:dyDescent="0.3">
      <c r="A392" s="165"/>
      <c r="B392" s="231" t="str">
        <f t="shared" si="10"/>
        <v/>
      </c>
      <c r="C392" s="166"/>
      <c r="D392" s="166"/>
      <c r="E392" s="231" t="str">
        <f>IFERROR(INDEX(Servicios!$B:$B,MATCH($D392,Servicios!$A:$A,0)),"")</f>
        <v/>
      </c>
      <c r="F392" s="166"/>
      <c r="G392" s="166"/>
      <c r="H392" s="230">
        <f>IFERROR(INDEX(Servicios!$D:$D,MATCH($D392,Servicios!$A:$A,0)),0)</f>
        <v>0</v>
      </c>
      <c r="I392" s="226">
        <f>IFERROR(INDEX(Servicios!$E:$E,MATCH($D392,Servicios!$A:$A,0)),0)</f>
        <v>0</v>
      </c>
      <c r="J392" s="156"/>
      <c r="K392" s="226">
        <f t="shared" si="12"/>
        <v>0</v>
      </c>
      <c r="L392" s="226">
        <f>IFERROR(K392*IFERROR(INDEX(Servicios!$G:$G,MATCH($D392,Servicios!$A:$A,0)),0),0)</f>
        <v>0</v>
      </c>
      <c r="M392" s="226">
        <f>IFERROR(K392-L392-IFERROR(INDEX(Servicios!$F:$F,MATCH($D392,Servicios!$A:$A,0)),0),0)</f>
        <v>0</v>
      </c>
    </row>
    <row r="393" spans="1:13" ht="15" customHeight="1" x14ac:dyDescent="0.3">
      <c r="A393" s="165"/>
      <c r="B393" s="231" t="str">
        <f t="shared" si="10"/>
        <v/>
      </c>
      <c r="C393" s="166"/>
      <c r="D393" s="166"/>
      <c r="E393" s="231" t="str">
        <f>IFERROR(INDEX(Servicios!$B:$B,MATCH($D393,Servicios!$A:$A,0)),"")</f>
        <v/>
      </c>
      <c r="F393" s="166"/>
      <c r="G393" s="166"/>
      <c r="H393" s="230">
        <f>IFERROR(INDEX(Servicios!$D:$D,MATCH($D393,Servicios!$A:$A,0)),0)</f>
        <v>0</v>
      </c>
      <c r="I393" s="226">
        <f>IFERROR(INDEX(Servicios!$E:$E,MATCH($D393,Servicios!$A:$A,0)),0)</f>
        <v>0</v>
      </c>
      <c r="J393" s="156"/>
      <c r="K393" s="226">
        <f t="shared" si="12"/>
        <v>0</v>
      </c>
      <c r="L393" s="226">
        <f>IFERROR(K393*IFERROR(INDEX(Servicios!$G:$G,MATCH($D393,Servicios!$A:$A,0)),0),0)</f>
        <v>0</v>
      </c>
      <c r="M393" s="226">
        <f>IFERROR(K393-L393-IFERROR(INDEX(Servicios!$F:$F,MATCH($D393,Servicios!$A:$A,0)),0),0)</f>
        <v>0</v>
      </c>
    </row>
    <row r="394" spans="1:13" ht="15" customHeight="1" x14ac:dyDescent="0.3">
      <c r="A394" s="165"/>
      <c r="B394" s="231" t="str">
        <f t="shared" si="10"/>
        <v/>
      </c>
      <c r="C394" s="166"/>
      <c r="D394" s="166"/>
      <c r="E394" s="231" t="str">
        <f>IFERROR(INDEX(Servicios!$B:$B,MATCH($D394,Servicios!$A:$A,0)),"")</f>
        <v/>
      </c>
      <c r="F394" s="166"/>
      <c r="G394" s="166"/>
      <c r="H394" s="230">
        <f>IFERROR(INDEX(Servicios!$D:$D,MATCH($D394,Servicios!$A:$A,0)),0)</f>
        <v>0</v>
      </c>
      <c r="I394" s="226">
        <f>IFERROR(INDEX(Servicios!$E:$E,MATCH($D394,Servicios!$A:$A,0)),0)</f>
        <v>0</v>
      </c>
      <c r="J394" s="156"/>
      <c r="K394" s="226">
        <f t="shared" si="12"/>
        <v>0</v>
      </c>
      <c r="L394" s="226">
        <f>IFERROR(K394*IFERROR(INDEX(Servicios!$G:$G,MATCH($D394,Servicios!$A:$A,0)),0),0)</f>
        <v>0</v>
      </c>
      <c r="M394" s="226">
        <f>IFERROR(K394-L394-IFERROR(INDEX(Servicios!$F:$F,MATCH($D394,Servicios!$A:$A,0)),0),0)</f>
        <v>0</v>
      </c>
    </row>
    <row r="395" spans="1:13" ht="15" customHeight="1" x14ac:dyDescent="0.3">
      <c r="A395" s="165"/>
      <c r="B395" s="231" t="str">
        <f t="shared" si="10"/>
        <v/>
      </c>
      <c r="C395" s="166"/>
      <c r="D395" s="166"/>
      <c r="E395" s="231" t="str">
        <f>IFERROR(INDEX(Servicios!$B:$B,MATCH($D395,Servicios!$A:$A,0)),"")</f>
        <v/>
      </c>
      <c r="F395" s="166"/>
      <c r="G395" s="166"/>
      <c r="H395" s="230">
        <f>IFERROR(INDEX(Servicios!$D:$D,MATCH($D395,Servicios!$A:$A,0)),0)</f>
        <v>0</v>
      </c>
      <c r="I395" s="226">
        <f>IFERROR(INDEX(Servicios!$E:$E,MATCH($D395,Servicios!$A:$A,0)),0)</f>
        <v>0</v>
      </c>
      <c r="J395" s="156"/>
      <c r="K395" s="226">
        <f t="shared" si="12"/>
        <v>0</v>
      </c>
      <c r="L395" s="226">
        <f>IFERROR(K395*IFERROR(INDEX(Servicios!$G:$G,MATCH($D395,Servicios!$A:$A,0)),0),0)</f>
        <v>0</v>
      </c>
      <c r="M395" s="226">
        <f>IFERROR(K395-L395-IFERROR(INDEX(Servicios!$F:$F,MATCH($D395,Servicios!$A:$A,0)),0),0)</f>
        <v>0</v>
      </c>
    </row>
    <row r="396" spans="1:13" ht="15" customHeight="1" x14ac:dyDescent="0.3">
      <c r="A396" s="165"/>
      <c r="B396" s="231" t="str">
        <f t="shared" si="10"/>
        <v/>
      </c>
      <c r="C396" s="166"/>
      <c r="D396" s="166"/>
      <c r="E396" s="231" t="str">
        <f>IFERROR(INDEX(Servicios!$B:$B,MATCH($D396,Servicios!$A:$A,0)),"")</f>
        <v/>
      </c>
      <c r="F396" s="166"/>
      <c r="G396" s="166"/>
      <c r="H396" s="230">
        <f>IFERROR(INDEX(Servicios!$D:$D,MATCH($D396,Servicios!$A:$A,0)),0)</f>
        <v>0</v>
      </c>
      <c r="I396" s="226">
        <f>IFERROR(INDEX(Servicios!$E:$E,MATCH($D396,Servicios!$A:$A,0)),0)</f>
        <v>0</v>
      </c>
      <c r="J396" s="156"/>
      <c r="K396" s="226">
        <f t="shared" si="12"/>
        <v>0</v>
      </c>
      <c r="L396" s="226">
        <f>IFERROR(K396*IFERROR(INDEX(Servicios!$G:$G,MATCH($D396,Servicios!$A:$A,0)),0),0)</f>
        <v>0</v>
      </c>
      <c r="M396" s="226">
        <f>IFERROR(K396-L396-IFERROR(INDEX(Servicios!$F:$F,MATCH($D396,Servicios!$A:$A,0)),0),0)</f>
        <v>0</v>
      </c>
    </row>
    <row r="397" spans="1:13" ht="15" customHeight="1" x14ac:dyDescent="0.3">
      <c r="A397" s="165"/>
      <c r="B397" s="231" t="str">
        <f t="shared" si="10"/>
        <v/>
      </c>
      <c r="C397" s="166"/>
      <c r="D397" s="166"/>
      <c r="E397" s="231" t="str">
        <f>IFERROR(INDEX(Servicios!$B:$B,MATCH($D397,Servicios!$A:$A,0)),"")</f>
        <v/>
      </c>
      <c r="F397" s="166"/>
      <c r="G397" s="166"/>
      <c r="H397" s="230">
        <f>IFERROR(INDEX(Servicios!$D:$D,MATCH($D397,Servicios!$A:$A,0)),0)</f>
        <v>0</v>
      </c>
      <c r="I397" s="226">
        <f>IFERROR(INDEX(Servicios!$E:$E,MATCH($D397,Servicios!$A:$A,0)),0)</f>
        <v>0</v>
      </c>
      <c r="J397" s="156"/>
      <c r="K397" s="226">
        <f t="shared" si="12"/>
        <v>0</v>
      </c>
      <c r="L397" s="226">
        <f>IFERROR(K397*IFERROR(INDEX(Servicios!$G:$G,MATCH($D397,Servicios!$A:$A,0)),0),0)</f>
        <v>0</v>
      </c>
      <c r="M397" s="226">
        <f>IFERROR(K397-L397-IFERROR(INDEX(Servicios!$F:$F,MATCH($D397,Servicios!$A:$A,0)),0),0)</f>
        <v>0</v>
      </c>
    </row>
    <row r="398" spans="1:13" ht="15" customHeight="1" x14ac:dyDescent="0.3">
      <c r="A398" s="165"/>
      <c r="B398" s="231" t="str">
        <f t="shared" si="10"/>
        <v/>
      </c>
      <c r="C398" s="166"/>
      <c r="D398" s="166"/>
      <c r="E398" s="231" t="str">
        <f>IFERROR(INDEX(Servicios!$B:$B,MATCH($D398,Servicios!$A:$A,0)),"")</f>
        <v/>
      </c>
      <c r="F398" s="166"/>
      <c r="G398" s="166"/>
      <c r="H398" s="230">
        <f>IFERROR(INDEX(Servicios!$D:$D,MATCH($D398,Servicios!$A:$A,0)),0)</f>
        <v>0</v>
      </c>
      <c r="I398" s="226">
        <f>IFERROR(INDEX(Servicios!$E:$E,MATCH($D398,Servicios!$A:$A,0)),0)</f>
        <v>0</v>
      </c>
      <c r="J398" s="156"/>
      <c r="K398" s="226">
        <f t="shared" si="12"/>
        <v>0</v>
      </c>
      <c r="L398" s="226">
        <f>IFERROR(K398*IFERROR(INDEX(Servicios!$G:$G,MATCH($D398,Servicios!$A:$A,0)),0),0)</f>
        <v>0</v>
      </c>
      <c r="M398" s="226">
        <f>IFERROR(K398-L398-IFERROR(INDEX(Servicios!$F:$F,MATCH($D398,Servicios!$A:$A,0)),0),0)</f>
        <v>0</v>
      </c>
    </row>
    <row r="399" spans="1:13" ht="15" customHeight="1" x14ac:dyDescent="0.3">
      <c r="A399" s="165"/>
      <c r="B399" s="231" t="str">
        <f t="shared" si="10"/>
        <v/>
      </c>
      <c r="C399" s="166"/>
      <c r="D399" s="166"/>
      <c r="E399" s="231" t="str">
        <f>IFERROR(INDEX(Servicios!$B:$B,MATCH($D399,Servicios!$A:$A,0)),"")</f>
        <v/>
      </c>
      <c r="F399" s="166"/>
      <c r="G399" s="166"/>
      <c r="H399" s="230">
        <f>IFERROR(INDEX(Servicios!$D:$D,MATCH($D399,Servicios!$A:$A,0)),0)</f>
        <v>0</v>
      </c>
      <c r="I399" s="226">
        <f>IFERROR(INDEX(Servicios!$E:$E,MATCH($D399,Servicios!$A:$A,0)),0)</f>
        <v>0</v>
      </c>
      <c r="J399" s="156"/>
      <c r="K399" s="226">
        <f t="shared" si="12"/>
        <v>0</v>
      </c>
      <c r="L399" s="226">
        <f>IFERROR(K399*IFERROR(INDEX(Servicios!$G:$G,MATCH($D399,Servicios!$A:$A,0)),0),0)</f>
        <v>0</v>
      </c>
      <c r="M399" s="226">
        <f>IFERROR(K399-L399-IFERROR(INDEX(Servicios!$F:$F,MATCH($D399,Servicios!$A:$A,0)),0),0)</f>
        <v>0</v>
      </c>
    </row>
    <row r="400" spans="1:13" ht="15" customHeight="1" x14ac:dyDescent="0.3">
      <c r="A400" s="165"/>
      <c r="B400" s="231" t="str">
        <f t="shared" si="10"/>
        <v/>
      </c>
      <c r="C400" s="166"/>
      <c r="D400" s="166"/>
      <c r="E400" s="231" t="str">
        <f>IFERROR(INDEX(Servicios!$B:$B,MATCH($D400,Servicios!$A:$A,0)),"")</f>
        <v/>
      </c>
      <c r="F400" s="166"/>
      <c r="G400" s="166"/>
      <c r="H400" s="230">
        <f>IFERROR(INDEX(Servicios!$D:$D,MATCH($D400,Servicios!$A:$A,0)),0)</f>
        <v>0</v>
      </c>
      <c r="I400" s="226">
        <f>IFERROR(INDEX(Servicios!$E:$E,MATCH($D400,Servicios!$A:$A,0)),0)</f>
        <v>0</v>
      </c>
      <c r="J400" s="156"/>
      <c r="K400" s="226">
        <f t="shared" si="12"/>
        <v>0</v>
      </c>
      <c r="L400" s="226">
        <f>IFERROR(K400*IFERROR(INDEX(Servicios!$G:$G,MATCH($D400,Servicios!$A:$A,0)),0),0)</f>
        <v>0</v>
      </c>
      <c r="M400" s="226">
        <f>IFERROR(K400-L400-IFERROR(INDEX(Servicios!$F:$F,MATCH($D400,Servicios!$A:$A,0)),0),0)</f>
        <v>0</v>
      </c>
    </row>
    <row r="401" spans="1:13" ht="15" customHeight="1" x14ac:dyDescent="0.3">
      <c r="A401" s="165"/>
      <c r="B401" s="231" t="str">
        <f t="shared" si="10"/>
        <v/>
      </c>
      <c r="C401" s="166"/>
      <c r="D401" s="166"/>
      <c r="E401" s="231" t="str">
        <f>IFERROR(INDEX(Servicios!$B:$B,MATCH($D401,Servicios!$A:$A,0)),"")</f>
        <v/>
      </c>
      <c r="F401" s="166"/>
      <c r="G401" s="166"/>
      <c r="H401" s="230">
        <f>IFERROR(INDEX(Servicios!$D:$D,MATCH($D401,Servicios!$A:$A,0)),0)</f>
        <v>0</v>
      </c>
      <c r="I401" s="226">
        <f>IFERROR(INDEX(Servicios!$E:$E,MATCH($D401,Servicios!$A:$A,0)),0)</f>
        <v>0</v>
      </c>
      <c r="J401" s="156"/>
      <c r="K401" s="226">
        <f t="shared" si="12"/>
        <v>0</v>
      </c>
      <c r="L401" s="226">
        <f>IFERROR(K401*IFERROR(INDEX(Servicios!$G:$G,MATCH($D401,Servicios!$A:$A,0)),0),0)</f>
        <v>0</v>
      </c>
      <c r="M401" s="226">
        <f>IFERROR(K401-L401-IFERROR(INDEX(Servicios!$F:$F,MATCH($D401,Servicios!$A:$A,0)),0),0)</f>
        <v>0</v>
      </c>
    </row>
    <row r="402" spans="1:13" ht="15" customHeight="1" x14ac:dyDescent="0.3">
      <c r="A402" s="165"/>
      <c r="B402" s="231" t="str">
        <f t="shared" si="10"/>
        <v/>
      </c>
      <c r="C402" s="166"/>
      <c r="D402" s="166"/>
      <c r="E402" s="231" t="str">
        <f>IFERROR(INDEX(Servicios!$B:$B,MATCH($D402,Servicios!$A:$A,0)),"")</f>
        <v/>
      </c>
      <c r="F402" s="166"/>
      <c r="G402" s="166"/>
      <c r="H402" s="230">
        <f>IFERROR(INDEX(Servicios!$D:$D,MATCH($D402,Servicios!$A:$A,0)),0)</f>
        <v>0</v>
      </c>
      <c r="I402" s="226">
        <f>IFERROR(INDEX(Servicios!$E:$E,MATCH($D402,Servicios!$A:$A,0)),0)</f>
        <v>0</v>
      </c>
      <c r="J402" s="156"/>
      <c r="K402" s="226">
        <f t="shared" si="12"/>
        <v>0</v>
      </c>
      <c r="L402" s="226">
        <f>IFERROR(K402*IFERROR(INDEX(Servicios!$G:$G,MATCH($D402,Servicios!$A:$A,0)),0),0)</f>
        <v>0</v>
      </c>
      <c r="M402" s="226">
        <f>IFERROR(K402-L402-IFERROR(INDEX(Servicios!$F:$F,MATCH($D402,Servicios!$A:$A,0)),0),0)</f>
        <v>0</v>
      </c>
    </row>
    <row r="403" spans="1:13" ht="15" customHeight="1" x14ac:dyDescent="0.3">
      <c r="A403" s="165"/>
      <c r="B403" s="231" t="str">
        <f t="shared" si="10"/>
        <v/>
      </c>
      <c r="C403" s="166"/>
      <c r="D403" s="166"/>
      <c r="E403" s="231" t="str">
        <f>IFERROR(INDEX(Servicios!$B:$B,MATCH($D403,Servicios!$A:$A,0)),"")</f>
        <v/>
      </c>
      <c r="F403" s="166"/>
      <c r="G403" s="166"/>
      <c r="H403" s="230">
        <f>IFERROR(INDEX(Servicios!$D:$D,MATCH($D403,Servicios!$A:$A,0)),0)</f>
        <v>0</v>
      </c>
      <c r="I403" s="226">
        <f>IFERROR(INDEX(Servicios!$E:$E,MATCH($D403,Servicios!$A:$A,0)),0)</f>
        <v>0</v>
      </c>
      <c r="J403" s="156"/>
      <c r="K403" s="226">
        <f t="shared" si="12"/>
        <v>0</v>
      </c>
      <c r="L403" s="226">
        <f>IFERROR(K403*IFERROR(INDEX(Servicios!$G:$G,MATCH($D403,Servicios!$A:$A,0)),0),0)</f>
        <v>0</v>
      </c>
      <c r="M403" s="226">
        <f>IFERROR(K403-L403-IFERROR(INDEX(Servicios!$F:$F,MATCH($D403,Servicios!$A:$A,0)),0),0)</f>
        <v>0</v>
      </c>
    </row>
    <row r="404" spans="1:13" ht="15" customHeight="1" x14ac:dyDescent="0.3">
      <c r="A404" s="167"/>
      <c r="B404" s="234" t="str">
        <f t="shared" si="10"/>
        <v/>
      </c>
      <c r="C404" s="168"/>
      <c r="D404" s="168"/>
      <c r="E404" s="234" t="str">
        <f>IFERROR(INDEX(Servicios!$B:$B,MATCH($D404,Servicios!$A:$A,0)),"")</f>
        <v/>
      </c>
      <c r="F404" s="168"/>
      <c r="G404" s="168"/>
      <c r="H404" s="235">
        <f>IFERROR(INDEX(Servicios!$D:$D,MATCH($D404,Servicios!$A:$A,0)),0)</f>
        <v>0</v>
      </c>
      <c r="I404" s="232">
        <f>IFERROR(INDEX(Servicios!$E:$E,MATCH($D404,Servicios!$A:$A,0)),0)</f>
        <v>0</v>
      </c>
      <c r="J404" s="169"/>
      <c r="K404" s="232">
        <f t="shared" si="12"/>
        <v>0</v>
      </c>
      <c r="L404" s="232">
        <f>IFERROR(K404*IFERROR(INDEX(Servicios!$G:$G,MATCH($D404,Servicios!$A:$A,0)),0),0)</f>
        <v>0</v>
      </c>
      <c r="M404" s="232">
        <f>IFERROR(K404-L404-IFERROR(INDEX(Servicios!$F:$F,MATCH($D404,Servicios!$A:$A,0)),0),0)</f>
        <v>0</v>
      </c>
    </row>
    <row r="405" spans="1:13" ht="15" customHeight="1" x14ac:dyDescent="0.3">
      <c r="A405" s="170"/>
      <c r="B405" s="170"/>
      <c r="C405" s="170"/>
      <c r="D405" s="170"/>
      <c r="E405" s="171" t="s">
        <v>32</v>
      </c>
      <c r="F405" s="170"/>
      <c r="G405" s="170"/>
      <c r="H405" s="236">
        <f>SUM(H5:H404)</f>
        <v>15420</v>
      </c>
      <c r="I405" s="170"/>
      <c r="J405" s="170"/>
      <c r="K405" s="233">
        <f>SUM(K5:K404)</f>
        <v>16551200</v>
      </c>
      <c r="L405" s="233">
        <f>SUM(L5:L404)</f>
        <v>5062335</v>
      </c>
      <c r="M405" s="233">
        <f>SUM(M5:M404)</f>
        <v>10737885</v>
      </c>
    </row>
    <row r="406" spans="1:13" s="172" customFormat="1" x14ac:dyDescent="0.3"/>
    <row r="407" spans="1:13" s="172" customFormat="1" ht="15" customHeight="1" x14ac:dyDescent="0.3"/>
    <row r="408" spans="1:13" s="172" customFormat="1" x14ac:dyDescent="0.3"/>
    <row r="409" spans="1:13" s="172" customFormat="1" x14ac:dyDescent="0.3"/>
    <row r="410" spans="1:13" s="172" customFormat="1" x14ac:dyDescent="0.3"/>
    <row r="411" spans="1:13" s="172" customFormat="1" x14ac:dyDescent="0.3"/>
    <row r="412" spans="1:13" s="172" customFormat="1" x14ac:dyDescent="0.3"/>
    <row r="413" spans="1:13" s="172" customFormat="1" x14ac:dyDescent="0.3"/>
    <row r="414" spans="1:13" s="172" customFormat="1" x14ac:dyDescent="0.3"/>
    <row r="415" spans="1:13" s="172" customFormat="1" x14ac:dyDescent="0.3"/>
    <row r="416" spans="1:13" s="172" customFormat="1" x14ac:dyDescent="0.3"/>
    <row r="417" s="172" customFormat="1" x14ac:dyDescent="0.3"/>
    <row r="418" s="172" customFormat="1" x14ac:dyDescent="0.3"/>
    <row r="419" s="172" customFormat="1" x14ac:dyDescent="0.3"/>
    <row r="420" s="172" customFormat="1" x14ac:dyDescent="0.3"/>
    <row r="421" s="172" customFormat="1" x14ac:dyDescent="0.3"/>
    <row r="422" s="172" customFormat="1" x14ac:dyDescent="0.3"/>
    <row r="423" s="172" customFormat="1" x14ac:dyDescent="0.3"/>
    <row r="424" s="172" customFormat="1" x14ac:dyDescent="0.3"/>
    <row r="425" s="172" customFormat="1" x14ac:dyDescent="0.3"/>
  </sheetData>
  <sheetProtection sheet="1" objects="1" scenarios="1" formatCells="0" formatColumns="0" formatRows="0" insertHyperlinks="0" sort="0" autoFilter="0"/>
  <autoFilter ref="A4:M404" xr:uid="{00000000-0009-0000-0000-000006000000}"/>
  <mergeCells count="2">
    <mergeCell ref="A2:M2"/>
    <mergeCell ref="A1:M1"/>
  </mergeCells>
  <pageMargins left="0.75" right="0.75" top="1" bottom="1"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32"/>
  <sheetViews>
    <sheetView showGridLines="0" zoomScaleNormal="100" workbookViewId="0">
      <selection activeCell="F17" sqref="F17"/>
    </sheetView>
  </sheetViews>
  <sheetFormatPr baseColWidth="10" defaultColWidth="8.6640625" defaultRowHeight="14.4" x14ac:dyDescent="0.3"/>
  <cols>
    <col min="1" max="1" width="3" style="2" customWidth="1"/>
    <col min="2" max="2" width="26" style="2" customWidth="1"/>
    <col min="3" max="3" width="62" style="2" customWidth="1"/>
    <col min="4" max="4" width="18" style="2" customWidth="1"/>
    <col min="5" max="5" width="4" style="2" customWidth="1"/>
    <col min="6" max="16384" width="8.6640625" style="2"/>
  </cols>
  <sheetData>
    <row r="1" spans="2:4" ht="30" customHeight="1" x14ac:dyDescent="0.3">
      <c r="B1" s="173" t="s">
        <v>293</v>
      </c>
      <c r="C1" s="4"/>
      <c r="D1" s="4"/>
    </row>
    <row r="2" spans="2:4" ht="15" customHeight="1" x14ac:dyDescent="0.3">
      <c r="B2" s="120" t="s">
        <v>294</v>
      </c>
      <c r="C2" s="121"/>
      <c r="D2" s="121"/>
    </row>
    <row r="4" spans="2:4" ht="15" customHeight="1" x14ac:dyDescent="0.3">
      <c r="B4" s="174" t="s">
        <v>295</v>
      </c>
      <c r="C4" s="4"/>
      <c r="D4" s="4"/>
    </row>
    <row r="5" spans="2:4" ht="15" customHeight="1" x14ac:dyDescent="0.3">
      <c r="B5" s="4"/>
      <c r="C5" s="4"/>
      <c r="D5" s="4"/>
    </row>
    <row r="6" spans="2:4" ht="15" customHeight="1" x14ac:dyDescent="0.3">
      <c r="B6" s="4"/>
      <c r="C6" s="4"/>
      <c r="D6" s="4"/>
    </row>
    <row r="7" spans="2:4" ht="39" customHeight="1" x14ac:dyDescent="0.3">
      <c r="B7" s="4"/>
      <c r="C7" s="4"/>
      <c r="D7" s="4"/>
    </row>
    <row r="9" spans="2:4" ht="15" customHeight="1" x14ac:dyDescent="0.3">
      <c r="B9" s="175" t="s">
        <v>296</v>
      </c>
    </row>
    <row r="10" spans="2:4" ht="15" customHeight="1" x14ac:dyDescent="0.3">
      <c r="B10" s="176" t="s">
        <v>297</v>
      </c>
      <c r="C10" s="177" t="s">
        <v>298</v>
      </c>
    </row>
    <row r="11" spans="2:4" ht="15" customHeight="1" x14ac:dyDescent="0.3">
      <c r="B11" s="176" t="s">
        <v>297</v>
      </c>
      <c r="C11" s="177" t="s">
        <v>299</v>
      </c>
    </row>
    <row r="12" spans="2:4" ht="15" customHeight="1" x14ac:dyDescent="0.3">
      <c r="B12" s="176" t="s">
        <v>297</v>
      </c>
      <c r="C12" s="177" t="s">
        <v>300</v>
      </c>
    </row>
    <row r="13" spans="2:4" ht="15" customHeight="1" x14ac:dyDescent="0.3">
      <c r="B13" s="176" t="s">
        <v>297</v>
      </c>
      <c r="C13" s="177" t="s">
        <v>301</v>
      </c>
    </row>
    <row r="14" spans="2:4" ht="15" customHeight="1" x14ac:dyDescent="0.3">
      <c r="B14" s="176" t="s">
        <v>297</v>
      </c>
      <c r="C14" s="177" t="s">
        <v>302</v>
      </c>
    </row>
    <row r="15" spans="2:4" ht="15" customHeight="1" x14ac:dyDescent="0.3">
      <c r="B15" s="176" t="s">
        <v>297</v>
      </c>
      <c r="C15" s="177" t="s">
        <v>303</v>
      </c>
    </row>
    <row r="17" spans="2:4" ht="15" customHeight="1" x14ac:dyDescent="0.3">
      <c r="B17" s="175" t="s">
        <v>304</v>
      </c>
    </row>
    <row r="18" spans="2:4" ht="24" customHeight="1" x14ac:dyDescent="0.3">
      <c r="B18" s="178" t="s">
        <v>27</v>
      </c>
      <c r="C18" s="178" t="s">
        <v>305</v>
      </c>
      <c r="D18" s="178" t="s">
        <v>174</v>
      </c>
    </row>
    <row r="19" spans="2:4" s="182" customFormat="1" ht="28.8" x14ac:dyDescent="0.3">
      <c r="B19" s="179" t="s">
        <v>306</v>
      </c>
      <c r="C19" s="180" t="s">
        <v>307</v>
      </c>
      <c r="D19" s="181" t="s">
        <v>308</v>
      </c>
    </row>
    <row r="20" spans="2:4" s="182" customFormat="1" x14ac:dyDescent="0.3">
      <c r="B20" s="183" t="s">
        <v>309</v>
      </c>
      <c r="C20" s="184" t="s">
        <v>310</v>
      </c>
      <c r="D20" s="185" t="s">
        <v>308</v>
      </c>
    </row>
    <row r="21" spans="2:4" s="182" customFormat="1" x14ac:dyDescent="0.3">
      <c r="B21" s="179" t="s">
        <v>311</v>
      </c>
      <c r="C21" s="180" t="s">
        <v>312</v>
      </c>
      <c r="D21" s="181" t="s">
        <v>308</v>
      </c>
    </row>
    <row r="22" spans="2:4" s="182" customFormat="1" ht="28.8" x14ac:dyDescent="0.3">
      <c r="B22" s="183" t="s">
        <v>313</v>
      </c>
      <c r="C22" s="184" t="s">
        <v>314</v>
      </c>
      <c r="D22" s="185" t="s">
        <v>308</v>
      </c>
    </row>
    <row r="23" spans="2:4" s="182" customFormat="1" x14ac:dyDescent="0.3">
      <c r="B23" s="179" t="s">
        <v>315</v>
      </c>
      <c r="C23" s="180" t="s">
        <v>316</v>
      </c>
      <c r="D23" s="181" t="s">
        <v>317</v>
      </c>
    </row>
    <row r="24" spans="2:4" s="182" customFormat="1" x14ac:dyDescent="0.3">
      <c r="B24" s="183" t="s">
        <v>318</v>
      </c>
      <c r="C24" s="184" t="s">
        <v>319</v>
      </c>
      <c r="D24" s="185" t="s">
        <v>320</v>
      </c>
    </row>
    <row r="25" spans="2:4" s="182" customFormat="1" x14ac:dyDescent="0.3">
      <c r="B25" s="179" t="s">
        <v>321</v>
      </c>
      <c r="C25" s="180" t="s">
        <v>322</v>
      </c>
      <c r="D25" s="181" t="s">
        <v>323</v>
      </c>
    </row>
    <row r="28" spans="2:4" ht="15" customHeight="1" x14ac:dyDescent="0.3">
      <c r="B28" s="186" t="s">
        <v>324</v>
      </c>
      <c r="C28" s="187"/>
      <c r="D28" s="187"/>
    </row>
    <row r="29" spans="2:4" ht="15" customHeight="1" x14ac:dyDescent="0.3">
      <c r="B29" s="187"/>
      <c r="C29" s="187"/>
      <c r="D29" s="187"/>
    </row>
    <row r="30" spans="2:4" ht="15" customHeight="1" x14ac:dyDescent="0.3">
      <c r="B30" s="187"/>
      <c r="C30" s="187"/>
      <c r="D30" s="187"/>
    </row>
    <row r="32" spans="2:4" x14ac:dyDescent="0.3">
      <c r="B32" s="188" t="s">
        <v>325</v>
      </c>
      <c r="C32" s="188"/>
      <c r="D32" s="188"/>
    </row>
  </sheetData>
  <sheetProtection sheet="1" objects="1" scenarios="1" formatCells="0" formatColumns="0" formatRows="0" insertHyperlinks="0" sort="0" autoFilter="0"/>
  <mergeCells count="5">
    <mergeCell ref="B1:D1"/>
    <mergeCell ref="B2:D2"/>
    <mergeCell ref="B28:D30"/>
    <mergeCell ref="B4:D7"/>
    <mergeCell ref="B32:D3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Tablero</vt:lpstr>
      <vt:lpstr>Instrucciones</vt:lpstr>
      <vt:lpstr>Profesionales</vt:lpstr>
      <vt:lpstr>Servicios</vt:lpstr>
      <vt:lpstr>Insumos</vt:lpstr>
      <vt:lpstr>Fichas</vt:lpstr>
      <vt:lpstr>Ventas</vt:lpstr>
      <vt:lpstr>Servicios ADIMCLO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ADIMCLO SAS</dc:creator>
  <cp:lastModifiedBy>Viviana Daconte</cp:lastModifiedBy>
  <cp:revision>1</cp:revision>
  <dcterms:created xsi:type="dcterms:W3CDTF">2026-07-30T18:06:35Z</dcterms:created>
  <dcterms:modified xsi:type="dcterms:W3CDTF">2026-08-05T04:39:10Z</dcterms:modified>
  <dc:language>en-US</dc:language>
</cp:coreProperties>
</file>